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1"/>
  <workbookPr codeName="ThisWorkbook" defaultThemeVersion="166925"/>
  <mc:AlternateContent xmlns:mc="http://schemas.openxmlformats.org/markup-compatibility/2006">
    <mc:Choice Requires="x15">
      <x15ac:absPath xmlns:x15ac="http://schemas.microsoft.com/office/spreadsheetml/2010/11/ac" url="https://emailwsu-my.sharepoint.com/personal/v_sierrajimenez_wsu_edu/Documents/WSU/PhD/Thesis/Paper 1 Methodology/"/>
    </mc:Choice>
  </mc:AlternateContent>
  <xr:revisionPtr revIDLastSave="1198" documentId="13_ncr:1_{0596981D-2AE2-2C4B-8991-BB3DEC03047F}" xr6:coauthVersionLast="47" xr6:coauthVersionMax="47" xr10:uidLastSave="{413C3712-3BC6-FF4D-8881-BA1ED9F78248}"/>
  <bookViews>
    <workbookView xWindow="28800" yWindow="500" windowWidth="38400" windowHeight="21100" activeTab="1" xr2:uid="{EB29A718-2CE6-174F-8972-CCE909784FB0}"/>
  </bookViews>
  <sheets>
    <sheet name="PAH_Standard" sheetId="17" r:id="rId1"/>
    <sheet name="BPCA" sheetId="18" r:id="rId2"/>
    <sheet name="BPCA_Experimental" sheetId="2" r:id="rId3"/>
    <sheet name="BPCA_Model_400" sheetId="27" r:id="rId4"/>
    <sheet name="BPCA_Model_500" sheetId="20" r:id="rId5"/>
    <sheet name="BPCA_Model_600" sheetId="22" r:id="rId6"/>
    <sheet name="BPCA_Model_700" sheetId="23" r:id="rId7"/>
  </sheets>
  <definedNames>
    <definedName name="solver_adj" localSheetId="3" hidden="1">BPCA_Model_400!#REF!</definedName>
    <definedName name="solver_adj" localSheetId="4" hidden="1">BPCA_Model_500!#REF!</definedName>
    <definedName name="solver_adj" localSheetId="5" hidden="1">BPCA_Model_600!#REF!</definedName>
    <definedName name="solver_adj" localSheetId="6" hidden="1">BPCA_Model_700!#REF!</definedName>
    <definedName name="solver_cvg" localSheetId="3" hidden="1">0.0001</definedName>
    <definedName name="solver_cvg" localSheetId="4" hidden="1">0.0001</definedName>
    <definedName name="solver_cvg" localSheetId="5" hidden="1">0.0001</definedName>
    <definedName name="solver_cvg" localSheetId="6" hidden="1">0.0001</definedName>
    <definedName name="solver_drv" localSheetId="3" hidden="1">1</definedName>
    <definedName name="solver_drv" localSheetId="4" hidden="1">1</definedName>
    <definedName name="solver_drv" localSheetId="5" hidden="1">1</definedName>
    <definedName name="solver_drv" localSheetId="6" hidden="1">1</definedName>
    <definedName name="solver_eng" localSheetId="3" hidden="1">2</definedName>
    <definedName name="solver_eng" localSheetId="4" hidden="1">2</definedName>
    <definedName name="solver_eng" localSheetId="5" hidden="1">2</definedName>
    <definedName name="solver_eng" localSheetId="6" hidden="1">2</definedName>
    <definedName name="solver_itr" localSheetId="3" hidden="1">2147483647</definedName>
    <definedName name="solver_itr" localSheetId="4" hidden="1">2147483647</definedName>
    <definedName name="solver_itr" localSheetId="5" hidden="1">2147483647</definedName>
    <definedName name="solver_itr" localSheetId="6" hidden="1">2147483647</definedName>
    <definedName name="solver_lhs1" localSheetId="3" hidden="1">BPCA_Model_400!$H$31</definedName>
    <definedName name="solver_lhs1" localSheetId="4" hidden="1">BPCA_Model_500!$H$31</definedName>
    <definedName name="solver_lhs1" localSheetId="5" hidden="1">BPCA_Model_600!$H$31</definedName>
    <definedName name="solver_lhs1" localSheetId="6" hidden="1">BPCA_Model_700!$H$31</definedName>
    <definedName name="solver_lhs2" localSheetId="3" hidden="1">BPCA_Model_400!$L$31</definedName>
    <definedName name="solver_lhs2" localSheetId="4" hidden="1">BPCA_Model_500!$L$31</definedName>
    <definedName name="solver_lhs2" localSheetId="5" hidden="1">BPCA_Model_600!$L$31</definedName>
    <definedName name="solver_lhs2" localSheetId="6" hidden="1">BPCA_Model_700!$L$31</definedName>
    <definedName name="solver_lhs3" localSheetId="3" hidden="1">BPCA_Model_400!$M$31</definedName>
    <definedName name="solver_lhs3" localSheetId="4" hidden="1">BPCA_Model_500!$M$31</definedName>
    <definedName name="solver_lhs3" localSheetId="5" hidden="1">BPCA_Model_600!$M$31</definedName>
    <definedName name="solver_lhs3" localSheetId="6" hidden="1">BPCA_Model_700!$M$31</definedName>
    <definedName name="solver_lhs4" localSheetId="3" hidden="1">BPCA_Model_400!#REF!</definedName>
    <definedName name="solver_lhs4" localSheetId="4" hidden="1">BPCA_Model_500!#REF!</definedName>
    <definedName name="solver_lhs4" localSheetId="5" hidden="1">BPCA_Model_600!#REF!</definedName>
    <definedName name="solver_lhs4" localSheetId="6" hidden="1">BPCA_Model_700!#REF!</definedName>
    <definedName name="solver_lin" localSheetId="3" hidden="1">1</definedName>
    <definedName name="solver_lin" localSheetId="4" hidden="1">1</definedName>
    <definedName name="solver_lin" localSheetId="5" hidden="1">1</definedName>
    <definedName name="solver_lin" localSheetId="6" hidden="1">1</definedName>
    <definedName name="solver_mip" localSheetId="3" hidden="1">2147483647</definedName>
    <definedName name="solver_mip" localSheetId="4" hidden="1">2147483647</definedName>
    <definedName name="solver_mip" localSheetId="5" hidden="1">2147483647</definedName>
    <definedName name="solver_mip" localSheetId="6" hidden="1">2147483647</definedName>
    <definedName name="solver_mni" localSheetId="3" hidden="1">30</definedName>
    <definedName name="solver_mni" localSheetId="4" hidden="1">30</definedName>
    <definedName name="solver_mni" localSheetId="5" hidden="1">30</definedName>
    <definedName name="solver_mni" localSheetId="6" hidden="1">30</definedName>
    <definedName name="solver_mrt" localSheetId="3" hidden="1">0.075</definedName>
    <definedName name="solver_mrt" localSheetId="4" hidden="1">0.075</definedName>
    <definedName name="solver_mrt" localSheetId="5" hidden="1">0.075</definedName>
    <definedName name="solver_mrt" localSheetId="6" hidden="1">0.075</definedName>
    <definedName name="solver_msl" localSheetId="3" hidden="1">2</definedName>
    <definedName name="solver_msl" localSheetId="4" hidden="1">2</definedName>
    <definedName name="solver_msl" localSheetId="5" hidden="1">2</definedName>
    <definedName name="solver_msl" localSheetId="6" hidden="1">2</definedName>
    <definedName name="solver_neg" localSheetId="3" hidden="1">1</definedName>
    <definedName name="solver_neg" localSheetId="4" hidden="1">1</definedName>
    <definedName name="solver_neg" localSheetId="5" hidden="1">1</definedName>
    <definedName name="solver_neg" localSheetId="6" hidden="1">1</definedName>
    <definedName name="solver_nod" localSheetId="3" hidden="1">2147483647</definedName>
    <definedName name="solver_nod" localSheetId="4" hidden="1">2147483647</definedName>
    <definedName name="solver_nod" localSheetId="5" hidden="1">2147483647</definedName>
    <definedName name="solver_nod" localSheetId="6" hidden="1">2147483647</definedName>
    <definedName name="solver_num" localSheetId="3" hidden="1">4</definedName>
    <definedName name="solver_num" localSheetId="4" hidden="1">4</definedName>
    <definedName name="solver_num" localSheetId="5" hidden="1">4</definedName>
    <definedName name="solver_num" localSheetId="6" hidden="1">4</definedName>
    <definedName name="solver_opt" localSheetId="3" hidden="1">BPCA_Model_400!$N$31</definedName>
    <definedName name="solver_opt" localSheetId="4" hidden="1">BPCA_Model_500!$N$31</definedName>
    <definedName name="solver_opt" localSheetId="5" hidden="1">BPCA_Model_600!$N$31</definedName>
    <definedName name="solver_opt" localSheetId="6" hidden="1">BPCA_Model_700!$N$31</definedName>
    <definedName name="solver_pre" localSheetId="3" hidden="1">0.000001</definedName>
    <definedName name="solver_pre" localSheetId="4" hidden="1">0.000001</definedName>
    <definedName name="solver_pre" localSheetId="5" hidden="1">0.000001</definedName>
    <definedName name="solver_pre" localSheetId="6" hidden="1">0.000001</definedName>
    <definedName name="solver_rbv" localSheetId="3" hidden="1">1</definedName>
    <definedName name="solver_rbv" localSheetId="4" hidden="1">1</definedName>
    <definedName name="solver_rbv" localSheetId="5" hidden="1">1</definedName>
    <definedName name="solver_rbv" localSheetId="6" hidden="1">1</definedName>
    <definedName name="solver_rel1" localSheetId="3" hidden="1">1</definedName>
    <definedName name="solver_rel1" localSheetId="4" hidden="1">1</definedName>
    <definedName name="solver_rel1" localSheetId="5" hidden="1">1</definedName>
    <definedName name="solver_rel1" localSheetId="6" hidden="1">1</definedName>
    <definedName name="solver_rel2" localSheetId="3" hidden="1">1</definedName>
    <definedName name="solver_rel2" localSheetId="4" hidden="1">1</definedName>
    <definedName name="solver_rel2" localSheetId="5" hidden="1">1</definedName>
    <definedName name="solver_rel2" localSheetId="6" hidden="1">1</definedName>
    <definedName name="solver_rel3" localSheetId="3" hidden="1">1</definedName>
    <definedName name="solver_rel3" localSheetId="4" hidden="1">1</definedName>
    <definedName name="solver_rel3" localSheetId="5" hidden="1">1</definedName>
    <definedName name="solver_rel3" localSheetId="6" hidden="1">1</definedName>
    <definedName name="solver_rel4" localSheetId="3" hidden="1">2</definedName>
    <definedName name="solver_rel4" localSheetId="4" hidden="1">2</definedName>
    <definedName name="solver_rel4" localSheetId="5" hidden="1">2</definedName>
    <definedName name="solver_rel4" localSheetId="6" hidden="1">2</definedName>
    <definedName name="solver_rhs1" localSheetId="3" hidden="1">0.02</definedName>
    <definedName name="solver_rhs1" localSheetId="4" hidden="1">0.02</definedName>
    <definedName name="solver_rhs1" localSheetId="5" hidden="1">0.02</definedName>
    <definedName name="solver_rhs1" localSheetId="6" hidden="1">0.02</definedName>
    <definedName name="solver_rhs2" localSheetId="3" hidden="1">0.169</definedName>
    <definedName name="solver_rhs2" localSheetId="4" hidden="1">0.169</definedName>
    <definedName name="solver_rhs2" localSheetId="5" hidden="1">0.169</definedName>
    <definedName name="solver_rhs2" localSheetId="6" hidden="1">0.169</definedName>
    <definedName name="solver_rhs3" localSheetId="3" hidden="1">0.336</definedName>
    <definedName name="solver_rhs3" localSheetId="4" hidden="1">0.336</definedName>
    <definedName name="solver_rhs3" localSheetId="5" hidden="1">0.336</definedName>
    <definedName name="solver_rhs3" localSheetId="6" hidden="1">0.336</definedName>
    <definedName name="solver_rhs4" localSheetId="3" hidden="1">1</definedName>
    <definedName name="solver_rhs4" localSheetId="4" hidden="1">1</definedName>
    <definedName name="solver_rhs4" localSheetId="5" hidden="1">1</definedName>
    <definedName name="solver_rhs4" localSheetId="6" hidden="1">1</definedName>
    <definedName name="solver_rlx" localSheetId="3" hidden="1">2</definedName>
    <definedName name="solver_rlx" localSheetId="4" hidden="1">2</definedName>
    <definedName name="solver_rlx" localSheetId="5" hidden="1">2</definedName>
    <definedName name="solver_rlx" localSheetId="6" hidden="1">2</definedName>
    <definedName name="solver_rsd" localSheetId="3" hidden="1">0</definedName>
    <definedName name="solver_rsd" localSheetId="4" hidden="1">0</definedName>
    <definedName name="solver_rsd" localSheetId="5" hidden="1">0</definedName>
    <definedName name="solver_rsd" localSheetId="6" hidden="1">0</definedName>
    <definedName name="solver_scl" localSheetId="3" hidden="1">1</definedName>
    <definedName name="solver_scl" localSheetId="4" hidden="1">1</definedName>
    <definedName name="solver_scl" localSheetId="5" hidden="1">1</definedName>
    <definedName name="solver_scl" localSheetId="6" hidden="1">1</definedName>
    <definedName name="solver_sho" localSheetId="3" hidden="1">2</definedName>
    <definedName name="solver_sho" localSheetId="4" hidden="1">2</definedName>
    <definedName name="solver_sho" localSheetId="5" hidden="1">2</definedName>
    <definedName name="solver_sho" localSheetId="6" hidden="1">2</definedName>
    <definedName name="solver_ssz" localSheetId="3" hidden="1">100</definedName>
    <definedName name="solver_ssz" localSheetId="4" hidden="1">100</definedName>
    <definedName name="solver_ssz" localSheetId="5" hidden="1">100</definedName>
    <definedName name="solver_ssz" localSheetId="6" hidden="1">100</definedName>
    <definedName name="solver_tim" localSheetId="3" hidden="1">2147483647</definedName>
    <definedName name="solver_tim" localSheetId="4" hidden="1">2147483647</definedName>
    <definedName name="solver_tim" localSheetId="5" hidden="1">2147483647</definedName>
    <definedName name="solver_tim" localSheetId="6" hidden="1">2147483647</definedName>
    <definedName name="solver_tol" localSheetId="3" hidden="1">0.01</definedName>
    <definedName name="solver_tol" localSheetId="4" hidden="1">0.01</definedName>
    <definedName name="solver_tol" localSheetId="5" hidden="1">0.01</definedName>
    <definedName name="solver_tol" localSheetId="6" hidden="1">0.01</definedName>
    <definedName name="solver_typ" localSheetId="3" hidden="1">3</definedName>
    <definedName name="solver_typ" localSheetId="4" hidden="1">3</definedName>
    <definedName name="solver_typ" localSheetId="5" hidden="1">3</definedName>
    <definedName name="solver_typ" localSheetId="6" hidden="1">3</definedName>
    <definedName name="solver_val" localSheetId="3" hidden="1">0.476</definedName>
    <definedName name="solver_val" localSheetId="4" hidden="1">0.476</definedName>
    <definedName name="solver_val" localSheetId="5" hidden="1">0.476</definedName>
    <definedName name="solver_val" localSheetId="6" hidden="1">0.476</definedName>
    <definedName name="solver_ver" localSheetId="3" hidden="1">2</definedName>
    <definedName name="solver_ver" localSheetId="4" hidden="1">2</definedName>
    <definedName name="solver_ver" localSheetId="5" hidden="1">2</definedName>
    <definedName name="solver_ver" localSheetId="6" hidden="1">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34" i="23" l="1"/>
  <c r="E28" i="2" l="1"/>
  <c r="E29" i="2"/>
  <c r="E30" i="2"/>
  <c r="E31" i="2"/>
  <c r="E32" i="2"/>
  <c r="E33" i="2"/>
  <c r="E34" i="2"/>
  <c r="E35" i="2"/>
  <c r="E36" i="2"/>
  <c r="E37" i="2"/>
  <c r="E38" i="2"/>
  <c r="G43" i="27" l="1"/>
  <c r="G37" i="27"/>
  <c r="G38" i="27" s="1"/>
  <c r="N33" i="27"/>
  <c r="M33" i="27"/>
  <c r="L33" i="27"/>
  <c r="K33" i="27"/>
  <c r="H33" i="27"/>
  <c r="G33" i="27"/>
  <c r="N32" i="27"/>
  <c r="M32" i="27"/>
  <c r="H32" i="27"/>
  <c r="L32" i="27"/>
  <c r="K32" i="27"/>
  <c r="G32" i="27"/>
  <c r="O28" i="27"/>
  <c r="J28" i="27"/>
  <c r="I28" i="27"/>
  <c r="U27" i="27"/>
  <c r="R27" i="27"/>
  <c r="Q27" i="27"/>
  <c r="P27" i="27"/>
  <c r="N27" i="27"/>
  <c r="L27" i="27"/>
  <c r="R26" i="27"/>
  <c r="Q26" i="27"/>
  <c r="P26" i="27"/>
  <c r="N26" i="27"/>
  <c r="M26" i="27"/>
  <c r="L26" i="27"/>
  <c r="E26" i="27"/>
  <c r="U26" i="27" s="1"/>
  <c r="U25" i="27"/>
  <c r="R25" i="27"/>
  <c r="Q25" i="27"/>
  <c r="P25" i="27"/>
  <c r="N25" i="27"/>
  <c r="M25" i="27"/>
  <c r="H25" i="27"/>
  <c r="U24" i="27"/>
  <c r="R24" i="27"/>
  <c r="Q24" i="27"/>
  <c r="P24" i="27"/>
  <c r="N24" i="27"/>
  <c r="M24" i="27"/>
  <c r="L24" i="27"/>
  <c r="U23" i="27"/>
  <c r="R23" i="27"/>
  <c r="Q23" i="27"/>
  <c r="P23" i="27"/>
  <c r="N23" i="27"/>
  <c r="M23" i="27"/>
  <c r="L23" i="27"/>
  <c r="U22" i="27"/>
  <c r="R22" i="27"/>
  <c r="Q22" i="27"/>
  <c r="P22" i="27"/>
  <c r="N22" i="27"/>
  <c r="M22" i="27"/>
  <c r="M28" i="27" s="1"/>
  <c r="L22" i="27"/>
  <c r="U21" i="27"/>
  <c r="R21" i="27"/>
  <c r="Q21" i="27"/>
  <c r="P21" i="27"/>
  <c r="N21" i="27"/>
  <c r="L21" i="27"/>
  <c r="H21" i="27"/>
  <c r="U20" i="27"/>
  <c r="R20" i="27"/>
  <c r="Q20" i="27"/>
  <c r="P20" i="27"/>
  <c r="H20" i="27"/>
  <c r="G20" i="27"/>
  <c r="U19" i="27"/>
  <c r="R19" i="27"/>
  <c r="Q19" i="27"/>
  <c r="P19" i="27"/>
  <c r="N19" i="27"/>
  <c r="H19" i="27"/>
  <c r="H28" i="27" s="1"/>
  <c r="U18" i="27"/>
  <c r="R18" i="27"/>
  <c r="Q18" i="27"/>
  <c r="P18" i="27"/>
  <c r="N18" i="27"/>
  <c r="N28" i="27" s="1"/>
  <c r="L18" i="27"/>
  <c r="U17" i="27"/>
  <c r="R17" i="27"/>
  <c r="Q17" i="27"/>
  <c r="P17" i="27"/>
  <c r="U16" i="27"/>
  <c r="R16" i="27"/>
  <c r="Q16" i="27"/>
  <c r="P16" i="27"/>
  <c r="H16" i="27"/>
  <c r="G16" i="27"/>
  <c r="U15" i="27"/>
  <c r="R15" i="27"/>
  <c r="Q15" i="27"/>
  <c r="P15" i="27"/>
  <c r="L15" i="27"/>
  <c r="L17" i="27" s="1"/>
  <c r="G15" i="27"/>
  <c r="G17" i="27" s="1"/>
  <c r="U14" i="27"/>
  <c r="R14" i="27"/>
  <c r="Q14" i="27"/>
  <c r="P14" i="27"/>
  <c r="U13" i="27"/>
  <c r="R13" i="27"/>
  <c r="Q13" i="27"/>
  <c r="P13" i="27"/>
  <c r="L13" i="27"/>
  <c r="H13" i="27"/>
  <c r="U12" i="27"/>
  <c r="R12" i="27"/>
  <c r="Q12" i="27"/>
  <c r="P12" i="27"/>
  <c r="G12" i="27"/>
  <c r="U11" i="27"/>
  <c r="R11" i="27"/>
  <c r="Q11" i="27"/>
  <c r="P11" i="27"/>
  <c r="K11" i="27"/>
  <c r="K28" i="27" s="1"/>
  <c r="G11" i="27"/>
  <c r="G28" i="27" s="1"/>
  <c r="U10" i="27"/>
  <c r="R10" i="27"/>
  <c r="Q10" i="27"/>
  <c r="P10" i="27"/>
  <c r="G10" i="27"/>
  <c r="U9" i="27"/>
  <c r="R9" i="27"/>
  <c r="Q9" i="27"/>
  <c r="P9" i="27"/>
  <c r="L9" i="27"/>
  <c r="L28" i="27" s="1"/>
  <c r="G9" i="27"/>
  <c r="U8" i="27"/>
  <c r="R8" i="27"/>
  <c r="Q8" i="27"/>
  <c r="P8" i="27"/>
  <c r="U7" i="27"/>
  <c r="R7" i="27"/>
  <c r="Q7" i="27"/>
  <c r="P7" i="27"/>
  <c r="G7" i="27"/>
  <c r="U6" i="27"/>
  <c r="R6" i="27"/>
  <c r="Q6" i="27"/>
  <c r="P6" i="27"/>
  <c r="M5" i="27"/>
  <c r="L5" i="27"/>
  <c r="K5" i="27"/>
  <c r="J5" i="27"/>
  <c r="I5" i="27"/>
  <c r="H5" i="27"/>
  <c r="G5" i="27"/>
  <c r="R28" i="27" l="1"/>
  <c r="P28" i="27"/>
  <c r="Q28" i="27"/>
  <c r="S10" i="27" s="1"/>
  <c r="S6" i="27"/>
  <c r="G29" i="27"/>
  <c r="K31" i="27" s="1"/>
  <c r="K34" i="27" s="1"/>
  <c r="S27" i="27"/>
  <c r="T13" i="27"/>
  <c r="S25" i="27"/>
  <c r="T6" i="27"/>
  <c r="P7" i="23"/>
  <c r="Q7" i="23"/>
  <c r="R7" i="23"/>
  <c r="U7" i="23"/>
  <c r="S20" i="27" l="1"/>
  <c r="S18" i="27"/>
  <c r="S17" i="27"/>
  <c r="S14" i="27"/>
  <c r="S9" i="27"/>
  <c r="S26" i="27"/>
  <c r="T18" i="27"/>
  <c r="G39" i="27"/>
  <c r="S22" i="27"/>
  <c r="J31" i="27"/>
  <c r="G31" i="27"/>
  <c r="G34" i="27" s="1"/>
  <c r="S23" i="27"/>
  <c r="T17" i="27"/>
  <c r="T14" i="27"/>
  <c r="T16" i="27"/>
  <c r="T8" i="27"/>
  <c r="T10" i="27"/>
  <c r="G44" i="27"/>
  <c r="T26" i="27"/>
  <c r="T9" i="27"/>
  <c r="T21" i="27"/>
  <c r="T27" i="27"/>
  <c r="T25" i="27"/>
  <c r="S19" i="27"/>
  <c r="S8" i="27"/>
  <c r="S21" i="27"/>
  <c r="T20" i="27"/>
  <c r="S24" i="27"/>
  <c r="T15" i="27"/>
  <c r="S16" i="27"/>
  <c r="M31" i="27"/>
  <c r="M34" i="27" s="1"/>
  <c r="S13" i="27"/>
  <c r="T7" i="27"/>
  <c r="T22" i="27"/>
  <c r="T24" i="27"/>
  <c r="S7" i="27"/>
  <c r="S15" i="27"/>
  <c r="T19" i="27"/>
  <c r="T23" i="27"/>
  <c r="G40" i="27"/>
  <c r="H31" i="27"/>
  <c r="H34" i="27" s="1"/>
  <c r="N31" i="27"/>
  <c r="N34" i="27" s="1"/>
  <c r="I31" i="27"/>
  <c r="L31" i="27"/>
  <c r="L34" i="27" s="1"/>
  <c r="G43" i="23"/>
  <c r="G37" i="23"/>
  <c r="G38" i="23" s="1"/>
  <c r="N33" i="23"/>
  <c r="N32" i="23"/>
  <c r="M33" i="23"/>
  <c r="M32" i="23"/>
  <c r="L33" i="23"/>
  <c r="L32" i="23"/>
  <c r="K33" i="23"/>
  <c r="K32" i="23"/>
  <c r="H33" i="23"/>
  <c r="H32" i="23"/>
  <c r="G33" i="23"/>
  <c r="G32" i="23"/>
  <c r="J32" i="23"/>
  <c r="I32" i="23"/>
  <c r="O28" i="23"/>
  <c r="J28" i="23"/>
  <c r="I28" i="23"/>
  <c r="U27" i="23"/>
  <c r="R27" i="23"/>
  <c r="Q27" i="23"/>
  <c r="P27" i="23"/>
  <c r="N27" i="23"/>
  <c r="L27" i="23"/>
  <c r="U26" i="23"/>
  <c r="R26" i="23"/>
  <c r="Q26" i="23"/>
  <c r="P26" i="23"/>
  <c r="N26" i="23"/>
  <c r="M26" i="23"/>
  <c r="L26" i="23"/>
  <c r="E26" i="23"/>
  <c r="U25" i="23"/>
  <c r="R25" i="23"/>
  <c r="Q25" i="23"/>
  <c r="P25" i="23"/>
  <c r="N25" i="23"/>
  <c r="N28" i="23" s="1"/>
  <c r="M25" i="23"/>
  <c r="H25" i="23"/>
  <c r="U24" i="23"/>
  <c r="R24" i="23"/>
  <c r="Q24" i="23"/>
  <c r="P24" i="23"/>
  <c r="N24" i="23"/>
  <c r="M24" i="23"/>
  <c r="L24" i="23"/>
  <c r="U23" i="23"/>
  <c r="R23" i="23"/>
  <c r="Q23" i="23"/>
  <c r="P23" i="23"/>
  <c r="N23" i="23"/>
  <c r="M23" i="23"/>
  <c r="L23" i="23"/>
  <c r="U22" i="23"/>
  <c r="R22" i="23"/>
  <c r="Q22" i="23"/>
  <c r="P22" i="23"/>
  <c r="N22" i="23"/>
  <c r="M22" i="23"/>
  <c r="M28" i="23" s="1"/>
  <c r="L22" i="23"/>
  <c r="U21" i="23"/>
  <c r="R21" i="23"/>
  <c r="Q21" i="23"/>
  <c r="P21" i="23"/>
  <c r="N21" i="23"/>
  <c r="L21" i="23"/>
  <c r="H21" i="23"/>
  <c r="U20" i="23"/>
  <c r="R20" i="23"/>
  <c r="Q20" i="23"/>
  <c r="P20" i="23"/>
  <c r="H20" i="23"/>
  <c r="G20" i="23"/>
  <c r="U19" i="23"/>
  <c r="R19" i="23"/>
  <c r="Q19" i="23"/>
  <c r="P19" i="23"/>
  <c r="N19" i="23"/>
  <c r="H19" i="23"/>
  <c r="H28" i="23" s="1"/>
  <c r="U18" i="23"/>
  <c r="R18" i="23"/>
  <c r="Q18" i="23"/>
  <c r="P18" i="23"/>
  <c r="N18" i="23"/>
  <c r="L18" i="23"/>
  <c r="U17" i="23"/>
  <c r="R17" i="23"/>
  <c r="Q17" i="23"/>
  <c r="P17" i="23"/>
  <c r="U16" i="23"/>
  <c r="R16" i="23"/>
  <c r="Q16" i="23"/>
  <c r="P16" i="23"/>
  <c r="H16" i="23"/>
  <c r="G16" i="23"/>
  <c r="U15" i="23"/>
  <c r="R15" i="23"/>
  <c r="Q15" i="23"/>
  <c r="P15" i="23"/>
  <c r="L15" i="23"/>
  <c r="L17" i="23" s="1"/>
  <c r="G15" i="23"/>
  <c r="G17" i="23" s="1"/>
  <c r="U14" i="23"/>
  <c r="R14" i="23"/>
  <c r="Q14" i="23"/>
  <c r="P14" i="23"/>
  <c r="U13" i="23"/>
  <c r="R13" i="23"/>
  <c r="Q13" i="23"/>
  <c r="P13" i="23"/>
  <c r="L13" i="23"/>
  <c r="H13" i="23"/>
  <c r="U12" i="23"/>
  <c r="R12" i="23"/>
  <c r="Q12" i="23"/>
  <c r="P12" i="23"/>
  <c r="G12" i="23"/>
  <c r="U11" i="23"/>
  <c r="R11" i="23"/>
  <c r="Q11" i="23"/>
  <c r="P11" i="23"/>
  <c r="K11" i="23"/>
  <c r="K28" i="23" s="1"/>
  <c r="G11" i="23"/>
  <c r="U10" i="23"/>
  <c r="R10" i="23"/>
  <c r="Q10" i="23"/>
  <c r="P10" i="23"/>
  <c r="G10" i="23"/>
  <c r="U9" i="23"/>
  <c r="R9" i="23"/>
  <c r="Q9" i="23"/>
  <c r="P9" i="23"/>
  <c r="L9" i="23"/>
  <c r="L28" i="23" s="1"/>
  <c r="G9" i="23"/>
  <c r="U8" i="23"/>
  <c r="R8" i="23"/>
  <c r="Q8" i="23"/>
  <c r="P8" i="23"/>
  <c r="G7" i="23"/>
  <c r="U6" i="23"/>
  <c r="R6" i="23"/>
  <c r="Q6" i="23"/>
  <c r="P6" i="23"/>
  <c r="M5" i="23"/>
  <c r="L5" i="23"/>
  <c r="K5" i="23"/>
  <c r="J5" i="23"/>
  <c r="I5" i="23"/>
  <c r="H5" i="23"/>
  <c r="G5" i="23"/>
  <c r="G43" i="22"/>
  <c r="G37" i="22"/>
  <c r="G38" i="22" s="1"/>
  <c r="N33" i="22"/>
  <c r="M33" i="22"/>
  <c r="L33" i="22"/>
  <c r="K33" i="22"/>
  <c r="H33" i="22"/>
  <c r="H32" i="22"/>
  <c r="G33" i="22"/>
  <c r="G32" i="22"/>
  <c r="N33" i="20"/>
  <c r="M33" i="20"/>
  <c r="L33" i="20"/>
  <c r="K33" i="20"/>
  <c r="H33" i="20"/>
  <c r="G33" i="20"/>
  <c r="B3" i="2"/>
  <c r="B4" i="2"/>
  <c r="B5" i="2"/>
  <c r="B6" i="2"/>
  <c r="B7" i="2"/>
  <c r="B8" i="2"/>
  <c r="B9" i="2"/>
  <c r="R28" i="23" l="1"/>
  <c r="T7" i="23" s="1"/>
  <c r="S6" i="23"/>
  <c r="T27" i="23"/>
  <c r="T26" i="23"/>
  <c r="T13" i="23"/>
  <c r="T25" i="23"/>
  <c r="T10" i="23"/>
  <c r="P28" i="23"/>
  <c r="T24" i="23"/>
  <c r="G28" i="23"/>
  <c r="T20" i="23"/>
  <c r="T19" i="23"/>
  <c r="T18" i="23"/>
  <c r="T17" i="23"/>
  <c r="T16" i="23"/>
  <c r="T15" i="23"/>
  <c r="T14" i="23"/>
  <c r="T8" i="23"/>
  <c r="T23" i="23"/>
  <c r="T21" i="23"/>
  <c r="T22" i="23"/>
  <c r="T6" i="23"/>
  <c r="Q28" i="23"/>
  <c r="O28" i="22"/>
  <c r="J28" i="22"/>
  <c r="I28" i="22"/>
  <c r="U27" i="22"/>
  <c r="R27" i="22"/>
  <c r="Q27" i="22"/>
  <c r="P27" i="22"/>
  <c r="N27" i="22"/>
  <c r="L27" i="22"/>
  <c r="U26" i="22"/>
  <c r="R26" i="22"/>
  <c r="Q26" i="22"/>
  <c r="P26" i="22"/>
  <c r="N26" i="22"/>
  <c r="M26" i="22"/>
  <c r="L26" i="22"/>
  <c r="E26" i="22"/>
  <c r="U25" i="22"/>
  <c r="R25" i="22"/>
  <c r="Q25" i="22"/>
  <c r="P25" i="22"/>
  <c r="N25" i="22"/>
  <c r="M25" i="22"/>
  <c r="H25" i="22"/>
  <c r="U24" i="22"/>
  <c r="R24" i="22"/>
  <c r="Q24" i="22"/>
  <c r="P24" i="22"/>
  <c r="N24" i="22"/>
  <c r="M24" i="22"/>
  <c r="L24" i="22"/>
  <c r="U23" i="22"/>
  <c r="R23" i="22"/>
  <c r="Q23" i="22"/>
  <c r="P23" i="22"/>
  <c r="N23" i="22"/>
  <c r="M23" i="22"/>
  <c r="L23" i="22"/>
  <c r="U22" i="22"/>
  <c r="R22" i="22"/>
  <c r="Q22" i="22"/>
  <c r="P22" i="22"/>
  <c r="N22" i="22"/>
  <c r="M22" i="22"/>
  <c r="L22" i="22"/>
  <c r="U21" i="22"/>
  <c r="R21" i="22"/>
  <c r="Q21" i="22"/>
  <c r="P21" i="22"/>
  <c r="N21" i="22"/>
  <c r="L21" i="22"/>
  <c r="H21" i="22"/>
  <c r="U20" i="22"/>
  <c r="R20" i="22"/>
  <c r="Q20" i="22"/>
  <c r="P20" i="22"/>
  <c r="H20" i="22"/>
  <c r="G20" i="22"/>
  <c r="U19" i="22"/>
  <c r="R19" i="22"/>
  <c r="Q19" i="22"/>
  <c r="P19" i="22"/>
  <c r="N19" i="22"/>
  <c r="H19" i="22"/>
  <c r="U18" i="22"/>
  <c r="R18" i="22"/>
  <c r="Q18" i="22"/>
  <c r="P18" i="22"/>
  <c r="N18" i="22"/>
  <c r="L18" i="22"/>
  <c r="U17" i="22"/>
  <c r="R17" i="22"/>
  <c r="Q17" i="22"/>
  <c r="P17" i="22"/>
  <c r="U16" i="22"/>
  <c r="R16" i="22"/>
  <c r="Q16" i="22"/>
  <c r="P16" i="22"/>
  <c r="H16" i="22"/>
  <c r="G16" i="22"/>
  <c r="U15" i="22"/>
  <c r="R15" i="22"/>
  <c r="Q15" i="22"/>
  <c r="P15" i="22"/>
  <c r="L15" i="22"/>
  <c r="L17" i="22" s="1"/>
  <c r="G15" i="22"/>
  <c r="G17" i="22" s="1"/>
  <c r="U14" i="22"/>
  <c r="R14" i="22"/>
  <c r="Q14" i="22"/>
  <c r="P14" i="22"/>
  <c r="U13" i="22"/>
  <c r="R13" i="22"/>
  <c r="Q13" i="22"/>
  <c r="P13" i="22"/>
  <c r="L13" i="22"/>
  <c r="H13" i="22"/>
  <c r="U12" i="22"/>
  <c r="R12" i="22"/>
  <c r="Q12" i="22"/>
  <c r="P12" i="22"/>
  <c r="G12" i="22"/>
  <c r="U11" i="22"/>
  <c r="R11" i="22"/>
  <c r="Q11" i="22"/>
  <c r="P11" i="22"/>
  <c r="K11" i="22"/>
  <c r="K28" i="22" s="1"/>
  <c r="G11" i="22"/>
  <c r="U10" i="22"/>
  <c r="R10" i="22"/>
  <c r="Q10" i="22"/>
  <c r="P10" i="22"/>
  <c r="G10" i="22"/>
  <c r="U9" i="22"/>
  <c r="R9" i="22"/>
  <c r="Q9" i="22"/>
  <c r="P9" i="22"/>
  <c r="L9" i="22"/>
  <c r="G9" i="22"/>
  <c r="U8" i="22"/>
  <c r="R8" i="22"/>
  <c r="Q8" i="22"/>
  <c r="P8" i="22"/>
  <c r="U7" i="22"/>
  <c r="R7" i="22"/>
  <c r="Q7" i="22"/>
  <c r="P7" i="22"/>
  <c r="G7" i="22"/>
  <c r="U6" i="22"/>
  <c r="R6" i="22"/>
  <c r="Q6" i="22"/>
  <c r="P6" i="22"/>
  <c r="M5" i="22"/>
  <c r="L5" i="22"/>
  <c r="K5" i="22"/>
  <c r="J5" i="22"/>
  <c r="I5" i="22"/>
  <c r="H5" i="22"/>
  <c r="G5" i="22"/>
  <c r="T9" i="23" l="1"/>
  <c r="S18" i="23"/>
  <c r="S7" i="23"/>
  <c r="S17" i="23"/>
  <c r="G44" i="23"/>
  <c r="S20" i="23"/>
  <c r="S10" i="23"/>
  <c r="S21" i="23"/>
  <c r="S15" i="23"/>
  <c r="S9" i="23"/>
  <c r="G29" i="23"/>
  <c r="S24" i="23"/>
  <c r="S14" i="23"/>
  <c r="S26" i="23"/>
  <c r="S22" i="23"/>
  <c r="S27" i="23"/>
  <c r="S16" i="23"/>
  <c r="S23" i="23"/>
  <c r="G39" i="23"/>
  <c r="G40" i="23" s="1"/>
  <c r="S8" i="23"/>
  <c r="S19" i="23"/>
  <c r="S13" i="23"/>
  <c r="S25" i="23"/>
  <c r="N28" i="22"/>
  <c r="L28" i="22"/>
  <c r="M28" i="22"/>
  <c r="H28" i="22"/>
  <c r="S6" i="22"/>
  <c r="Q28" i="22"/>
  <c r="S27" i="22" s="1"/>
  <c r="R28" i="22"/>
  <c r="T17" i="22" s="1"/>
  <c r="P28" i="22"/>
  <c r="G28" i="22"/>
  <c r="T6" i="22"/>
  <c r="J31" i="23" l="1"/>
  <c r="I31" i="23"/>
  <c r="N31" i="23"/>
  <c r="M31" i="23"/>
  <c r="M34" i="23" s="1"/>
  <c r="H31" i="23"/>
  <c r="H34" i="23" s="1"/>
  <c r="L31" i="23"/>
  <c r="L34" i="23" s="1"/>
  <c r="K31" i="23"/>
  <c r="K34" i="23" s="1"/>
  <c r="G31" i="23"/>
  <c r="G34" i="23" s="1"/>
  <c r="T18" i="22"/>
  <c r="S24" i="22"/>
  <c r="G44" i="22"/>
  <c r="T27" i="22"/>
  <c r="T13" i="22"/>
  <c r="S18" i="22"/>
  <c r="T7" i="22"/>
  <c r="G39" i="22"/>
  <c r="G40" i="22" s="1"/>
  <c r="S15" i="22"/>
  <c r="T16" i="22"/>
  <c r="T10" i="22"/>
  <c r="S23" i="22"/>
  <c r="T15" i="22"/>
  <c r="T23" i="22"/>
  <c r="S25" i="22"/>
  <c r="T14" i="22"/>
  <c r="T24" i="22"/>
  <c r="T8" i="22"/>
  <c r="T9" i="22"/>
  <c r="S26" i="22"/>
  <c r="S13" i="22"/>
  <c r="S8" i="22"/>
  <c r="S19" i="22"/>
  <c r="S20" i="22"/>
  <c r="T22" i="22"/>
  <c r="S9" i="22"/>
  <c r="S17" i="22"/>
  <c r="S10" i="22"/>
  <c r="S21" i="22"/>
  <c r="S7" i="22"/>
  <c r="S14" i="22"/>
  <c r="T20" i="22"/>
  <c r="T26" i="22"/>
  <c r="T21" i="22"/>
  <c r="T19" i="22"/>
  <c r="T25" i="22"/>
  <c r="S22" i="22"/>
  <c r="S16" i="22"/>
  <c r="G29" i="22"/>
  <c r="G31" i="22" s="1"/>
  <c r="N31" i="22" l="1"/>
  <c r="H31" i="22"/>
  <c r="L31" i="22"/>
  <c r="I31" i="22"/>
  <c r="K31" i="22"/>
  <c r="M31" i="22"/>
  <c r="J31" i="22"/>
  <c r="G37" i="20" l="1"/>
  <c r="P7" i="20"/>
  <c r="Q7" i="20"/>
  <c r="R7" i="20"/>
  <c r="U7" i="20"/>
  <c r="G43" i="20"/>
  <c r="O28" i="20"/>
  <c r="J28" i="20"/>
  <c r="I28" i="20"/>
  <c r="U27" i="20"/>
  <c r="R27" i="20"/>
  <c r="Q27" i="20"/>
  <c r="P27" i="20"/>
  <c r="N27" i="20"/>
  <c r="L27" i="20"/>
  <c r="Q26" i="20"/>
  <c r="P26" i="20"/>
  <c r="N26" i="20"/>
  <c r="M26" i="20"/>
  <c r="L26" i="20"/>
  <c r="E26" i="20"/>
  <c r="R26" i="20" s="1"/>
  <c r="U25" i="20"/>
  <c r="R25" i="20"/>
  <c r="Q25" i="20"/>
  <c r="P25" i="20"/>
  <c r="N25" i="20"/>
  <c r="M25" i="20"/>
  <c r="H25" i="20"/>
  <c r="U24" i="20"/>
  <c r="R24" i="20"/>
  <c r="Q24" i="20"/>
  <c r="P24" i="20"/>
  <c r="N24" i="20"/>
  <c r="M24" i="20"/>
  <c r="L24" i="20"/>
  <c r="U23" i="20"/>
  <c r="R23" i="20"/>
  <c r="Q23" i="20"/>
  <c r="P23" i="20"/>
  <c r="N23" i="20"/>
  <c r="M23" i="20"/>
  <c r="L23" i="20"/>
  <c r="U22" i="20"/>
  <c r="R22" i="20"/>
  <c r="Q22" i="20"/>
  <c r="P22" i="20"/>
  <c r="N22" i="20"/>
  <c r="M22" i="20"/>
  <c r="L22" i="20"/>
  <c r="U21" i="20"/>
  <c r="R21" i="20"/>
  <c r="Q21" i="20"/>
  <c r="P21" i="20"/>
  <c r="N21" i="20"/>
  <c r="L21" i="20"/>
  <c r="H21" i="20"/>
  <c r="U20" i="20"/>
  <c r="R20" i="20"/>
  <c r="Q20" i="20"/>
  <c r="P20" i="20"/>
  <c r="H20" i="20"/>
  <c r="G20" i="20"/>
  <c r="U19" i="20"/>
  <c r="R19" i="20"/>
  <c r="Q19" i="20"/>
  <c r="P19" i="20"/>
  <c r="N19" i="20"/>
  <c r="H19" i="20"/>
  <c r="U18" i="20"/>
  <c r="R18" i="20"/>
  <c r="Q18" i="20"/>
  <c r="P18" i="20"/>
  <c r="N18" i="20"/>
  <c r="L18" i="20"/>
  <c r="U17" i="20"/>
  <c r="R17" i="20"/>
  <c r="Q17" i="20"/>
  <c r="P17" i="20"/>
  <c r="U16" i="20"/>
  <c r="R16" i="20"/>
  <c r="Q16" i="20"/>
  <c r="P16" i="20"/>
  <c r="H16" i="20"/>
  <c r="G16" i="20"/>
  <c r="U15" i="20"/>
  <c r="R15" i="20"/>
  <c r="Q15" i="20"/>
  <c r="P15" i="20"/>
  <c r="L15" i="20"/>
  <c r="L17" i="20" s="1"/>
  <c r="G15" i="20"/>
  <c r="G17" i="20" s="1"/>
  <c r="U14" i="20"/>
  <c r="R14" i="20"/>
  <c r="Q14" i="20"/>
  <c r="P14" i="20"/>
  <c r="U13" i="20"/>
  <c r="R13" i="20"/>
  <c r="Q13" i="20"/>
  <c r="P13" i="20"/>
  <c r="L13" i="20"/>
  <c r="H13" i="20"/>
  <c r="U12" i="20"/>
  <c r="R12" i="20"/>
  <c r="Q12" i="20"/>
  <c r="P12" i="20"/>
  <c r="G12" i="20"/>
  <c r="U11" i="20"/>
  <c r="R11" i="20"/>
  <c r="Q11" i="20"/>
  <c r="P11" i="20"/>
  <c r="K11" i="20"/>
  <c r="K28" i="20" s="1"/>
  <c r="G11" i="20"/>
  <c r="U10" i="20"/>
  <c r="R10" i="20"/>
  <c r="Q10" i="20"/>
  <c r="P10" i="20"/>
  <c r="G10" i="20"/>
  <c r="U9" i="20"/>
  <c r="R9" i="20"/>
  <c r="Q9" i="20"/>
  <c r="P9" i="20"/>
  <c r="L9" i="20"/>
  <c r="G9" i="20"/>
  <c r="U8" i="20"/>
  <c r="R8" i="20"/>
  <c r="Q8" i="20"/>
  <c r="P8" i="20"/>
  <c r="G7" i="20"/>
  <c r="U6" i="20"/>
  <c r="R6" i="20"/>
  <c r="Q6" i="20"/>
  <c r="P6" i="20"/>
  <c r="M5" i="20"/>
  <c r="L5" i="20"/>
  <c r="K5" i="20"/>
  <c r="J5" i="20"/>
  <c r="I5" i="20"/>
  <c r="H5" i="20"/>
  <c r="G5" i="20"/>
  <c r="G38" i="20" l="1"/>
  <c r="U26" i="20"/>
  <c r="H28" i="20"/>
  <c r="N28" i="20"/>
  <c r="L28" i="20"/>
  <c r="M28" i="20"/>
  <c r="Q28" i="20"/>
  <c r="G44" i="20" s="1"/>
  <c r="S6" i="20"/>
  <c r="R28" i="20"/>
  <c r="P28" i="20"/>
  <c r="G28" i="20"/>
  <c r="T6" i="20"/>
  <c r="S7" i="20" l="1"/>
  <c r="S9" i="20"/>
  <c r="S8" i="20"/>
  <c r="G39" i="20"/>
  <c r="G40" i="20" s="1"/>
  <c r="T27" i="20"/>
  <c r="S13" i="20"/>
  <c r="T7" i="20"/>
  <c r="S10" i="20"/>
  <c r="T20" i="20"/>
  <c r="T13" i="20"/>
  <c r="S17" i="20"/>
  <c r="T19" i="20"/>
  <c r="T25" i="20"/>
  <c r="T9" i="20"/>
  <c r="S18" i="20"/>
  <c r="T26" i="20"/>
  <c r="T18" i="20"/>
  <c r="S20" i="20"/>
  <c r="T23" i="20"/>
  <c r="T21" i="20"/>
  <c r="T17" i="20"/>
  <c r="T24" i="20"/>
  <c r="S27" i="20"/>
  <c r="T16" i="20"/>
  <c r="S15" i="20"/>
  <c r="T14" i="20"/>
  <c r="S26" i="20"/>
  <c r="S23" i="20"/>
  <c r="T8" i="20"/>
  <c r="S25" i="20"/>
  <c r="T15" i="20"/>
  <c r="T10" i="20"/>
  <c r="S19" i="20"/>
  <c r="T22" i="20"/>
  <c r="S16" i="20"/>
  <c r="G29" i="20"/>
  <c r="G31" i="20" s="1"/>
  <c r="S22" i="20"/>
  <c r="S14" i="20" l="1"/>
  <c r="S21" i="20"/>
  <c r="S24" i="20"/>
  <c r="L31" i="20"/>
  <c r="J31" i="20"/>
  <c r="H31" i="20"/>
  <c r="I31" i="20"/>
  <c r="N31" i="20"/>
  <c r="K31" i="20"/>
  <c r="M31" i="20"/>
  <c r="D5" i="2"/>
  <c r="D3" i="2"/>
  <c r="D4" i="2"/>
  <c r="D9" i="2" l="1"/>
  <c r="D8" i="2"/>
  <c r="D6" i="2"/>
  <c r="D7" i="2"/>
  <c r="H6" i="17"/>
  <c r="P25" i="17" l="1"/>
  <c r="Y24" i="17" s="1"/>
  <c r="M25" i="17"/>
  <c r="V24" i="17" s="1"/>
  <c r="M23" i="17"/>
  <c r="V22" i="17" s="1"/>
  <c r="P23" i="17"/>
  <c r="Y22" i="17" s="1"/>
  <c r="K23" i="17"/>
  <c r="T22" i="17" s="1"/>
  <c r="M15" i="17"/>
  <c r="V14" i="17" s="1"/>
  <c r="P21" i="17"/>
  <c r="Y20" i="17" s="1"/>
  <c r="K21" i="17"/>
  <c r="T20" i="17" s="1"/>
  <c r="M19" i="17"/>
  <c r="V18" i="17" s="1"/>
  <c r="M17" i="17"/>
  <c r="V16" i="17" s="1"/>
  <c r="K19" i="17"/>
  <c r="T18" i="17" s="1"/>
  <c r="K17" i="17"/>
  <c r="T16" i="17" s="1"/>
  <c r="H15" i="17"/>
  <c r="Q14" i="17" s="1"/>
  <c r="M13" i="17"/>
  <c r="V12" i="17" s="1"/>
  <c r="K13" i="17"/>
  <c r="J13" i="17"/>
  <c r="M11" i="17"/>
  <c r="V10" i="17" s="1"/>
  <c r="H11" i="17"/>
  <c r="Q10" i="17" s="1"/>
  <c r="N9" i="17"/>
  <c r="H9" i="17"/>
  <c r="Q8" i="17" s="1"/>
  <c r="K7" i="17"/>
  <c r="I7" i="17"/>
  <c r="J7" i="17"/>
  <c r="M7" i="17"/>
  <c r="V26" i="17" l="1"/>
  <c r="Q27" i="17"/>
  <c r="T26" i="17"/>
  <c r="Y26" i="17"/>
  <c r="H7" i="17"/>
  <c r="J12" i="17" l="1"/>
  <c r="S12" i="17" s="1"/>
  <c r="K12" i="17"/>
  <c r="T12" i="17" s="1"/>
  <c r="G34" i="22" l="1"/>
  <c r="G32" i="20"/>
  <c r="G34" i="20" s="1"/>
  <c r="L32" i="22" l="1"/>
  <c r="K32" i="22"/>
  <c r="L32" i="20" l="1"/>
  <c r="L34" i="20" s="1"/>
  <c r="L34" i="22"/>
  <c r="N32" i="20"/>
  <c r="N34" i="20" s="1"/>
  <c r="K32" i="20"/>
  <c r="K34" i="20" s="1"/>
  <c r="K34" i="22"/>
  <c r="H10" i="2"/>
  <c r="M32" i="22"/>
  <c r="N32" i="22"/>
  <c r="N34" i="22" s="1"/>
  <c r="M32" i="20" l="1"/>
  <c r="M34" i="20" s="1"/>
  <c r="M34" i="22"/>
  <c r="H34" i="22"/>
  <c r="H32" i="20"/>
  <c r="H34" i="20" s="1"/>
  <c r="F10" i="2"/>
  <c r="G10" i="2"/>
  <c r="E10" i="2" l="1"/>
</calcChain>
</file>

<file path=xl/sharedStrings.xml><?xml version="1.0" encoding="utf-8"?>
<sst xmlns="http://schemas.openxmlformats.org/spreadsheetml/2006/main" count="440" uniqueCount="157">
  <si>
    <t>H/C</t>
  </si>
  <si>
    <t>B3CA</t>
  </si>
  <si>
    <t>B4CA</t>
  </si>
  <si>
    <t>B5CA</t>
  </si>
  <si>
    <t>B6CA</t>
  </si>
  <si>
    <t>Aromatic structures</t>
  </si>
  <si>
    <t>Molecule</t>
  </si>
  <si>
    <t>Hydrogen</t>
  </si>
  <si>
    <t>Ring Assign</t>
  </si>
  <si>
    <t>Molecule (%)</t>
  </si>
  <si>
    <t>Total C</t>
  </si>
  <si>
    <t>Total H</t>
  </si>
  <si>
    <t>Carbon (%)</t>
  </si>
  <si>
    <t>Hydrogen (%)</t>
  </si>
  <si>
    <t>Molecular Weight (Da)</t>
  </si>
  <si>
    <t>Structure</t>
  </si>
  <si>
    <t>Benzene</t>
  </si>
  <si>
    <t>Dibenzofuran</t>
  </si>
  <si>
    <t>Phenalene</t>
  </si>
  <si>
    <t>Phenanthrene</t>
  </si>
  <si>
    <t>Anthracene</t>
  </si>
  <si>
    <t>Pyrene</t>
  </si>
  <si>
    <t>Chrysene</t>
  </si>
  <si>
    <t>Aromatic Carbon</t>
  </si>
  <si>
    <t>Coronene</t>
  </si>
  <si>
    <t>Perylene</t>
  </si>
  <si>
    <t>benzo(a)fluorene</t>
  </si>
  <si>
    <t>Benzo(b)fluoranthene</t>
  </si>
  <si>
    <t>benzo(b)fluorene</t>
  </si>
  <si>
    <t>Benzo(a)pyrene</t>
  </si>
  <si>
    <t>Benzo[g,h,i]perylene</t>
  </si>
  <si>
    <t>Circumpyrene</t>
  </si>
  <si>
    <t>Circumcoronene</t>
  </si>
  <si>
    <t>Circumovalene</t>
  </si>
  <si>
    <t>Circumcircumpyrene</t>
  </si>
  <si>
    <t>Pentatriacontaene</t>
  </si>
  <si>
    <t>Experimental</t>
  </si>
  <si>
    <t>C84</t>
  </si>
  <si>
    <t>Carbon</t>
  </si>
  <si>
    <t>PAH</t>
  </si>
  <si>
    <t>Molecular Weight Distribution</t>
  </si>
  <si>
    <t>Sum BPCA</t>
  </si>
  <si>
    <t>Diference</t>
  </si>
  <si>
    <t>Aromatic C (Exp)</t>
  </si>
  <si>
    <t>Penanthrene</t>
  </si>
  <si>
    <t>Retene</t>
  </si>
  <si>
    <t>1-Nitropyrene</t>
  </si>
  <si>
    <t>Benzo[ghi]perylene</t>
  </si>
  <si>
    <t>% C</t>
  </si>
  <si>
    <t>% C recovered</t>
  </si>
  <si>
    <t>B3CA-2</t>
  </si>
  <si>
    <t>B4CA-2</t>
  </si>
  <si>
    <t>B3CA-3</t>
  </si>
  <si>
    <t>Pentacene</t>
  </si>
  <si>
    <t>Tetracene</t>
  </si>
  <si>
    <t>B3CA-1,2,4</t>
  </si>
  <si>
    <t>Trimellitic Acid</t>
  </si>
  <si>
    <t>Acid Name</t>
  </si>
  <si>
    <t xml:space="preserve">B3CA-1 </t>
  </si>
  <si>
    <t xml:space="preserve">B2CA-2 </t>
  </si>
  <si>
    <t>COOH position</t>
  </si>
  <si>
    <t>It can be this type when the 4 position has an aliphatic chain</t>
  </si>
  <si>
    <t>Explanation</t>
  </si>
  <si>
    <t>Phthalic Acid</t>
  </si>
  <si>
    <t>B2CA-1,2</t>
  </si>
  <si>
    <t xml:space="preserve">B2CA-1 </t>
  </si>
  <si>
    <t>Internal standard used</t>
  </si>
  <si>
    <t>Trimesic Acid</t>
  </si>
  <si>
    <t>B3CA-1,3,5</t>
  </si>
  <si>
    <t>Not assigned</t>
  </si>
  <si>
    <t>The probability of finding this type of structure is very low.</t>
  </si>
  <si>
    <t>Hemimellitic Acid</t>
  </si>
  <si>
    <t>B3CA-1,2,3</t>
  </si>
  <si>
    <t>Pyromellitic Acid</t>
  </si>
  <si>
    <t>B4CA-1,2,4,5</t>
  </si>
  <si>
    <t>If they are found, most likely, they come from linear PAH bigger than anthracene.</t>
  </si>
  <si>
    <t>Mellitic acid</t>
  </si>
  <si>
    <t>Benzenepentacarcoxylic acid</t>
  </si>
  <si>
    <t>Mellophanic Acid</t>
  </si>
  <si>
    <t>B4CA-1,2,3,5</t>
  </si>
  <si>
    <t>It can be this type when the 4 position was a COOH group that was before the digestion in the biochar</t>
  </si>
  <si>
    <t>It can be this type when the 5 position was a COOH group that was before the digestion in the biochar</t>
  </si>
  <si>
    <t>It can be this type when the 5 position was an aliphatic chain that was before the digestion in the biochar</t>
  </si>
  <si>
    <t xml:space="preserve">B4CA-1 </t>
  </si>
  <si>
    <t>Prehnitic Acid</t>
  </si>
  <si>
    <t>B4CA-1,2,3,4</t>
  </si>
  <si>
    <t>Most likely, it originates from a circular concatenation of PAH</t>
  </si>
  <si>
    <t>Most likely, it originates from a circular concatenation of PAH.</t>
  </si>
  <si>
    <t>B4CA-3</t>
  </si>
  <si>
    <t>Average</t>
  </si>
  <si>
    <t>Expected</t>
  </si>
  <si>
    <t>BPCA</t>
  </si>
  <si>
    <t>Method used by Ziolkowski et al., 2011</t>
  </si>
  <si>
    <t xml:space="preserve">Data extracted from: Quantification of black carbon in marine systems using the benzene polycarboxylic acid method: a mechanistic and yield study </t>
  </si>
  <si>
    <t>Link:</t>
  </si>
  <si>
    <t>https://aslopubs.onlinelibrary.wiley.com/doi/abs/10.4319/lom.2011.9.140</t>
  </si>
  <si>
    <t>Reference Name</t>
  </si>
  <si>
    <t>No</t>
  </si>
  <si>
    <t>Used in the molecular model?</t>
  </si>
  <si>
    <t xml:space="preserve">No </t>
  </si>
  <si>
    <t>Exclude this structure from the B3CA pool because it does not reflect condensed aromatic sheets</t>
  </si>
  <si>
    <t>Yes</t>
  </si>
  <si>
    <t>This is a true B3CA</t>
  </si>
  <si>
    <t>This is a true B4CA</t>
  </si>
  <si>
    <t>This is a true B6CA</t>
  </si>
  <si>
    <t>This is a true B5CA</t>
  </si>
  <si>
    <t>Why?</t>
  </si>
  <si>
    <t>Important conclusions from experimental results obtained by Ziolkowski et al., 2011</t>
  </si>
  <si>
    <t>PAHs were digested (2 to 10 mg) with 2 ml concentrated nitric acid (grade ACS). The tubes were heated at 180°C in a high-pressure digestion apparatus. The diggestion was done for 8 h. Internal standard, biphenyl-2,2’-dicarboxylic acid (1 mg mL–1 in methanol) was added after freeze drying the samples.</t>
  </si>
  <si>
    <t>–No significant correlations were found between the carbon yield and the number of aromatic rings or the percentage of carbon in the PAH; thus we are not able to draw any conclusions as to how the type or size of PAH oxidized is related to the carbon yield.</t>
  </si>
  <si>
    <t>–Aliphatic side chains of BC could be oxidized to carboxylic acids</t>
  </si>
  <si>
    <t xml:space="preserve">–Smaller PAHs favor the formation of less substituted BPCAs, whereas larger PAHs, such as coronene, favor the formation of more fully substituted BPCAs. </t>
  </si>
  <si>
    <t>– There seems to be no systematic pattern of oxidation, we cannot accurately model the oxidation products.</t>
  </si>
  <si>
    <t>–A linear regression of the difference between the expected and observed smaller BPCA percentage against the number of carbons in the PAH for all the non-pyrene PAHs had a positive slope with an r2 = 0.69. These results demonstrate that larger PAHs generally formed larger BPCAs than predicted from their stoichiometry.</t>
  </si>
  <si>
    <t>Correction Factors for BPCAS</t>
  </si>
  <si>
    <t>Example for Mellophanic Acid</t>
  </si>
  <si>
    <t>C400</t>
  </si>
  <si>
    <t>C500</t>
  </si>
  <si>
    <t>C600</t>
  </si>
  <si>
    <t>C700</t>
  </si>
  <si>
    <t>Total</t>
  </si>
  <si>
    <t>Note: Structures from 1 to 11 , such as pure PAH, are challenging to find in biochar. Still, as in subsequent processes in the methodology, they are modified with functional groups and cross-linked with other molecules, so their probability of being present is more feasible.</t>
  </si>
  <si>
    <t>BPCA exp</t>
  </si>
  <si>
    <t>BPCA model</t>
  </si>
  <si>
    <t>Comments</t>
  </si>
  <si>
    <t>Adjusted to B4CA-1 or B3CA-3 with the inlcusion of COOH and aliphatic chains in the model</t>
  </si>
  <si>
    <t>Adjusted to B2CA-2 or B3CA-1 with the inlcusion of COOH and aliphatic chains in the model</t>
  </si>
  <si>
    <t>H/C (Exp)</t>
  </si>
  <si>
    <t>Aromatic C model</t>
  </si>
  <si>
    <t>You want an excess of aromatic C for the modification process</t>
  </si>
  <si>
    <t>H/C (model)</t>
  </si>
  <si>
    <t>Aproximate desired system</t>
  </si>
  <si>
    <t>BPCA contributes to pure aromatic H and C; the H/C ratio at this stage should be lower than the experimental ratio. The H/C will be adjusted later by incorporating more functional groups and carbon defects.</t>
  </si>
  <si>
    <t>H/C expected model</t>
  </si>
  <si>
    <t>Stdandard error from experiments</t>
  </si>
  <si>
    <t>C</t>
  </si>
  <si>
    <t>H</t>
  </si>
  <si>
    <t>13C NMR Data</t>
  </si>
  <si>
    <t xml:space="preserve">This is included in the model as B3CA-2 because the 5- position would be an additional H to be removed to fit a functional group, either COOH or an aliphatic chain.	
	</t>
  </si>
  <si>
    <t xml:space="preserve">B2CA structures are likely not relevant due to low amounts of these structures expected in biochar. But they are included because BPCA results suggest their presence mostly on low temperature biochar. Trimellitic acid would be included as B2CA-1 because the 4- position would be an additional H to be removed to fit a functional group, either COOH or an aliphatic chain.	
	</t>
  </si>
  <si>
    <t>PAH with a lower error regarding the expected value of BPCA</t>
  </si>
  <si>
    <t>Modelo</t>
  </si>
  <si>
    <t>Std error experimental</t>
  </si>
  <si>
    <t>defect1</t>
  </si>
  <si>
    <t>defect2</t>
  </si>
  <si>
    <t>defect3</t>
  </si>
  <si>
    <t>defect4</t>
  </si>
  <si>
    <t>defect5</t>
  </si>
  <si>
    <t>defect6</t>
  </si>
  <si>
    <t>defect7</t>
  </si>
  <si>
    <t>defect8</t>
  </si>
  <si>
    <t>defect9</t>
  </si>
  <si>
    <t>defect10</t>
  </si>
  <si>
    <t>defect11</t>
  </si>
  <si>
    <t>Defective clusters</t>
  </si>
  <si>
    <t>Name</t>
  </si>
  <si>
    <t>F(X)             Obtained from BPCA.py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</si>
</sst>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000"/>
    <numFmt numFmtId="165" formatCode="0.00000"/>
    <numFmt numFmtId="166" formatCode="0.0000"/>
    <numFmt numFmtId="167" formatCode="0.000000"/>
    <numFmt numFmtId="168" formatCode="0.0"/>
  </numFmts>
  <fonts count="9">
    <font>
      <sz val="12"/>
      <color theme="1"/>
      <name val="Calibri"/>
      <family val="2"/>
      <scheme val="minor"/>
    </font>
    <font>
      <u/>
      <sz val="12"/>
      <color theme="10"/>
      <name val="Calibri"/>
      <family val="2"/>
      <scheme val="minor"/>
    </font>
    <font>
      <sz val="12"/>
      <color theme="1"/>
      <name val="Times New Roman"/>
      <family val="1"/>
    </font>
    <font>
      <b/>
      <sz val="12"/>
      <color theme="1"/>
      <name val="Times New Roman"/>
      <family val="1"/>
    </font>
    <font>
      <sz val="12"/>
      <color rgb="FF000000"/>
      <name val="Times New Roman"/>
      <family val="1"/>
    </font>
    <font>
      <b/>
      <sz val="12"/>
      <color rgb="FF000000"/>
      <name val="Times New Roman"/>
      <family val="1"/>
    </font>
    <font>
      <u/>
      <sz val="12"/>
      <color theme="10"/>
      <name val="Times New Roman"/>
      <family val="1"/>
    </font>
    <font>
      <u/>
      <sz val="12"/>
      <color theme="4"/>
      <name val="Times New Roman"/>
      <family val="1"/>
    </font>
    <font>
      <sz val="12"/>
      <color theme="1"/>
      <name val="Var(--jp-code-font-family)"/>
    </font>
  </fonts>
  <fills count="7">
    <fill>
      <patternFill patternType="none"/>
    </fill>
    <fill>
      <patternFill patternType="gray125"/>
    </fill>
    <fill>
      <patternFill patternType="solid">
        <fgColor theme="7" tint="0.79998168889431442"/>
        <bgColor indexed="64"/>
      </patternFill>
    </fill>
    <fill>
      <patternFill patternType="solid">
        <fgColor theme="9" tint="0.79998168889431442"/>
        <bgColor indexed="64"/>
      </patternFill>
    </fill>
    <fill>
      <patternFill patternType="solid">
        <fgColor theme="0"/>
        <bgColor indexed="64"/>
      </patternFill>
    </fill>
    <fill>
      <patternFill patternType="solid">
        <fgColor theme="4" tint="0.79998168889431442"/>
        <bgColor indexed="64"/>
      </patternFill>
    </fill>
    <fill>
      <patternFill patternType="solid">
        <fgColor theme="8" tint="0.79998168889431442"/>
        <bgColor indexed="64"/>
      </patternFill>
    </fill>
  </fills>
  <borders count="9">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160">
    <xf numFmtId="0" fontId="0" fillId="0" borderId="0" xfId="0"/>
    <xf numFmtId="0" fontId="2" fillId="0" borderId="0" xfId="0" applyFont="1"/>
    <xf numFmtId="0" fontId="2" fillId="4" borderId="0" xfId="0" applyFont="1" applyFill="1"/>
    <xf numFmtId="0" fontId="2" fillId="4" borderId="0" xfId="0" applyFont="1" applyFill="1" applyAlignment="1">
      <alignment vertical="top"/>
    </xf>
    <xf numFmtId="0" fontId="2" fillId="4" borderId="0" xfId="0" applyFont="1" applyFill="1" applyAlignment="1">
      <alignment vertical="center"/>
    </xf>
    <xf numFmtId="0" fontId="3" fillId="4" borderId="0" xfId="0" applyFont="1" applyFill="1" applyAlignment="1">
      <alignment vertical="center"/>
    </xf>
    <xf numFmtId="0" fontId="2" fillId="4" borderId="0" xfId="0" applyFont="1" applyFill="1" applyAlignment="1">
      <alignment horizontal="center" vertical="center"/>
    </xf>
    <xf numFmtId="0" fontId="3" fillId="0" borderId="0" xfId="0" applyFont="1" applyAlignment="1">
      <alignment horizontal="center" vertical="center"/>
    </xf>
    <xf numFmtId="164" fontId="2" fillId="4" borderId="0" xfId="0" applyNumberFormat="1" applyFont="1" applyFill="1" applyAlignment="1">
      <alignment horizontal="center" vertical="center"/>
    </xf>
    <xf numFmtId="0" fontId="2" fillId="4" borderId="0" xfId="0" applyFont="1" applyFill="1" applyAlignment="1">
      <alignment horizontal="left" vertical="center"/>
    </xf>
    <xf numFmtId="0" fontId="6" fillId="4" borderId="0" xfId="1" applyFont="1" applyFill="1" applyAlignment="1">
      <alignment horizontal="center" vertical="center"/>
    </xf>
    <xf numFmtId="0" fontId="6" fillId="2" borderId="0" xfId="1" applyFont="1" applyFill="1"/>
    <xf numFmtId="0" fontId="2" fillId="4" borderId="0" xfId="0" applyFont="1" applyFill="1" applyAlignment="1">
      <alignment horizontal="left"/>
    </xf>
    <xf numFmtId="0" fontId="3" fillId="4" borderId="0" xfId="0" applyFont="1" applyFill="1" applyAlignment="1">
      <alignment horizontal="left"/>
    </xf>
    <xf numFmtId="164" fontId="2" fillId="0" borderId="0" xfId="0" applyNumberFormat="1" applyFont="1"/>
    <xf numFmtId="0" fontId="3" fillId="6" borderId="0" xfId="0" applyFont="1" applyFill="1" applyAlignment="1">
      <alignment horizontal="center" vertical="center"/>
    </xf>
    <xf numFmtId="0" fontId="3" fillId="4" borderId="0" xfId="0" applyFont="1" applyFill="1" applyAlignment="1">
      <alignment horizontal="center"/>
    </xf>
    <xf numFmtId="0" fontId="2" fillId="0" borderId="0" xfId="0" applyFont="1" applyAlignment="1">
      <alignment horizontal="center" vertical="center"/>
    </xf>
    <xf numFmtId="0" fontId="3" fillId="6" borderId="5" xfId="0" applyFont="1" applyFill="1" applyBorder="1" applyAlignment="1">
      <alignment horizontal="center" vertical="center"/>
    </xf>
    <xf numFmtId="0" fontId="2" fillId="0" borderId="5" xfId="0" applyFont="1" applyBorder="1" applyAlignment="1">
      <alignment horizontal="center" vertical="center"/>
    </xf>
    <xf numFmtId="168" fontId="2" fillId="0" borderId="0" xfId="0" applyNumberFormat="1" applyFont="1" applyAlignment="1">
      <alignment horizontal="center" vertical="center"/>
    </xf>
    <xf numFmtId="168" fontId="2" fillId="0" borderId="5" xfId="0" applyNumberFormat="1" applyFont="1" applyBorder="1" applyAlignment="1">
      <alignment horizontal="center" vertical="center"/>
    </xf>
    <xf numFmtId="2" fontId="2" fillId="0" borderId="0" xfId="0" applyNumberFormat="1" applyFont="1" applyAlignment="1">
      <alignment horizontal="center" vertical="center"/>
    </xf>
    <xf numFmtId="2" fontId="2" fillId="0" borderId="5" xfId="0" applyNumberFormat="1" applyFont="1" applyBorder="1" applyAlignment="1">
      <alignment horizontal="center" vertical="center"/>
    </xf>
    <xf numFmtId="0" fontId="2" fillId="0" borderId="6" xfId="0" applyFont="1" applyBorder="1" applyAlignment="1">
      <alignment vertical="center"/>
    </xf>
    <xf numFmtId="0" fontId="2" fillId="0" borderId="7" xfId="0" applyFont="1" applyBorder="1" applyAlignment="1">
      <alignment horizontal="center" vertical="center"/>
    </xf>
    <xf numFmtId="0" fontId="2" fillId="0" borderId="8" xfId="0" applyFont="1" applyBorder="1" applyAlignment="1">
      <alignment horizontal="center" vertical="center"/>
    </xf>
    <xf numFmtId="0" fontId="5" fillId="5" borderId="1" xfId="0" applyFont="1" applyFill="1" applyBorder="1" applyAlignment="1">
      <alignment horizontal="left" vertical="center"/>
    </xf>
    <xf numFmtId="0" fontId="5" fillId="5" borderId="2" xfId="0" applyFont="1" applyFill="1" applyBorder="1" applyAlignment="1">
      <alignment vertical="center"/>
    </xf>
    <xf numFmtId="0" fontId="3" fillId="5" borderId="2" xfId="0" applyFont="1" applyFill="1" applyBorder="1"/>
    <xf numFmtId="0" fontId="3" fillId="5" borderId="3" xfId="0" applyFont="1" applyFill="1" applyBorder="1"/>
    <xf numFmtId="0" fontId="4" fillId="0" borderId="4" xfId="0" applyFont="1" applyBorder="1" applyAlignment="1">
      <alignment horizontal="left" vertical="center"/>
    </xf>
    <xf numFmtId="0" fontId="4" fillId="0" borderId="0" xfId="0" applyFont="1" applyAlignment="1">
      <alignment vertical="center"/>
    </xf>
    <xf numFmtId="0" fontId="2" fillId="0" borderId="5" xfId="0" applyFont="1" applyBorder="1"/>
    <xf numFmtId="0" fontId="4" fillId="0" borderId="0" xfId="0" applyFont="1"/>
    <xf numFmtId="0" fontId="4" fillId="0" borderId="4" xfId="0" applyFont="1" applyBorder="1" applyAlignment="1">
      <alignment horizontal="left" vertical="top"/>
    </xf>
    <xf numFmtId="0" fontId="4" fillId="0" borderId="0" xfId="0" applyFont="1" applyAlignment="1">
      <alignment vertical="top"/>
    </xf>
    <xf numFmtId="0" fontId="4" fillId="0" borderId="0" xfId="0" applyFont="1" applyAlignment="1">
      <alignment vertical="top" wrapText="1"/>
    </xf>
    <xf numFmtId="0" fontId="2" fillId="0" borderId="0" xfId="0" applyFont="1" applyAlignment="1">
      <alignment vertical="top" wrapText="1"/>
    </xf>
    <xf numFmtId="0" fontId="2" fillId="0" borderId="5" xfId="0" applyFont="1" applyBorder="1" applyAlignment="1">
      <alignment vertical="top" wrapText="1"/>
    </xf>
    <xf numFmtId="0" fontId="2" fillId="0" borderId="4" xfId="0" applyFont="1" applyBorder="1" applyAlignment="1">
      <alignment horizontal="left"/>
    </xf>
    <xf numFmtId="0" fontId="2" fillId="3" borderId="0" xfId="0" applyFont="1" applyFill="1"/>
    <xf numFmtId="0" fontId="2" fillId="3" borderId="5" xfId="0" applyFont="1" applyFill="1" applyBorder="1"/>
    <xf numFmtId="166" fontId="3" fillId="6" borderId="1" xfId="0" applyNumberFormat="1" applyFont="1" applyFill="1" applyBorder="1"/>
    <xf numFmtId="166" fontId="3" fillId="6" borderId="2" xfId="0" applyNumberFormat="1" applyFont="1" applyFill="1" applyBorder="1" applyAlignment="1">
      <alignment horizontal="left"/>
    </xf>
    <xf numFmtId="166" fontId="3" fillId="6" borderId="2" xfId="0" applyNumberFormat="1" applyFont="1" applyFill="1" applyBorder="1"/>
    <xf numFmtId="165" fontId="5" fillId="6" borderId="2" xfId="0" applyNumberFormat="1" applyFont="1" applyFill="1" applyBorder="1"/>
    <xf numFmtId="166" fontId="3" fillId="6" borderId="3" xfId="0" applyNumberFormat="1" applyFont="1" applyFill="1" applyBorder="1"/>
    <xf numFmtId="166" fontId="2" fillId="0" borderId="4" xfId="0" applyNumberFormat="1" applyFont="1" applyBorder="1" applyAlignment="1">
      <alignment horizontal="left" vertical="center"/>
    </xf>
    <xf numFmtId="0" fontId="2" fillId="0" borderId="0" xfId="0" applyFont="1" applyAlignment="1">
      <alignment horizontal="left"/>
    </xf>
    <xf numFmtId="166" fontId="2" fillId="0" borderId="0" xfId="0" applyNumberFormat="1" applyFont="1"/>
    <xf numFmtId="166" fontId="2" fillId="0" borderId="5" xfId="0" applyNumberFormat="1" applyFont="1" applyBorder="1"/>
    <xf numFmtId="166" fontId="2" fillId="0" borderId="4" xfId="0" applyNumberFormat="1" applyFont="1" applyBorder="1"/>
    <xf numFmtId="166" fontId="2" fillId="0" borderId="0" xfId="0" applyNumberFormat="1" applyFont="1" applyAlignment="1">
      <alignment horizontal="left"/>
    </xf>
    <xf numFmtId="0" fontId="2" fillId="0" borderId="4" xfId="0" applyFont="1" applyBorder="1"/>
    <xf numFmtId="166" fontId="2" fillId="0" borderId="7" xfId="0" applyNumberFormat="1" applyFont="1" applyBorder="1"/>
    <xf numFmtId="166" fontId="2" fillId="0" borderId="8" xfId="0" applyNumberFormat="1" applyFont="1" applyBorder="1"/>
    <xf numFmtId="166" fontId="3" fillId="6" borderId="4" xfId="0" applyNumberFormat="1" applyFont="1" applyFill="1" applyBorder="1"/>
    <xf numFmtId="166" fontId="3" fillId="6" borderId="0" xfId="0" applyNumberFormat="1" applyFont="1" applyFill="1" applyAlignment="1">
      <alignment horizontal="left"/>
    </xf>
    <xf numFmtId="166" fontId="3" fillId="6" borderId="0" xfId="0" applyNumberFormat="1" applyFont="1" applyFill="1"/>
    <xf numFmtId="165" fontId="5" fillId="6" borderId="0" xfId="0" applyNumberFormat="1" applyFont="1" applyFill="1"/>
    <xf numFmtId="166" fontId="3" fillId="6" borderId="5" xfId="0" applyNumberFormat="1" applyFont="1" applyFill="1" applyBorder="1"/>
    <xf numFmtId="166" fontId="2" fillId="4" borderId="0" xfId="0" applyNumberFormat="1" applyFont="1" applyFill="1"/>
    <xf numFmtId="164" fontId="2" fillId="4" borderId="0" xfId="0" applyNumberFormat="1" applyFont="1" applyFill="1"/>
    <xf numFmtId="0" fontId="2" fillId="4" borderId="0" xfId="0" applyFont="1" applyFill="1" applyAlignment="1">
      <alignment horizontal="center"/>
    </xf>
    <xf numFmtId="167" fontId="2" fillId="4" borderId="0" xfId="0" applyNumberFormat="1" applyFont="1" applyFill="1"/>
    <xf numFmtId="164" fontId="2" fillId="0" borderId="5" xfId="0" applyNumberFormat="1" applyFont="1" applyBorder="1"/>
    <xf numFmtId="164" fontId="2" fillId="0" borderId="7" xfId="0" applyNumberFormat="1" applyFont="1" applyBorder="1"/>
    <xf numFmtId="164" fontId="2" fillId="0" borderId="8" xfId="0" applyNumberFormat="1" applyFont="1" applyBorder="1"/>
    <xf numFmtId="0" fontId="4" fillId="4" borderId="0" xfId="0" applyFont="1" applyFill="1"/>
    <xf numFmtId="2" fontId="2" fillId="0" borderId="0" xfId="0" applyNumberFormat="1" applyFont="1"/>
    <xf numFmtId="2" fontId="2" fillId="0" borderId="5" xfId="0" applyNumberFormat="1" applyFont="1" applyBorder="1"/>
    <xf numFmtId="0" fontId="2" fillId="0" borderId="6" xfId="0" applyFont="1" applyBorder="1"/>
    <xf numFmtId="0" fontId="2" fillId="0" borderId="7" xfId="0" applyFont="1" applyBorder="1"/>
    <xf numFmtId="2" fontId="2" fillId="0" borderId="8" xfId="0" applyNumberFormat="1" applyFont="1" applyBorder="1"/>
    <xf numFmtId="0" fontId="2" fillId="3" borderId="4" xfId="0" applyFont="1" applyFill="1" applyBorder="1"/>
    <xf numFmtId="164" fontId="2" fillId="0" borderId="0" xfId="0" applyNumberFormat="1" applyFont="1" applyAlignment="1">
      <alignment horizontal="center" vertical="center"/>
    </xf>
    <xf numFmtId="0" fontId="2" fillId="0" borderId="0" xfId="0" applyFont="1" applyAlignment="1">
      <alignment horizontal="center"/>
    </xf>
    <xf numFmtId="0" fontId="2" fillId="0" borderId="0" xfId="0" applyFont="1" applyAlignment="1">
      <alignment horizontal="center" vertical="top"/>
    </xf>
    <xf numFmtId="0" fontId="3" fillId="0" borderId="0" xfId="0" applyFont="1"/>
    <xf numFmtId="0" fontId="3" fillId="6" borderId="0" xfId="0" applyFont="1" applyFill="1" applyAlignment="1">
      <alignment vertical="center"/>
    </xf>
    <xf numFmtId="164" fontId="3" fillId="6" borderId="0" xfId="0" applyNumberFormat="1" applyFont="1" applyFill="1" applyAlignment="1">
      <alignment horizontal="center" vertical="center"/>
    </xf>
    <xf numFmtId="1" fontId="3" fillId="6" borderId="0" xfId="0" applyNumberFormat="1" applyFont="1" applyFill="1" applyAlignment="1">
      <alignment horizontal="center" vertical="center" wrapText="1"/>
    </xf>
    <xf numFmtId="2" fontId="3" fillId="6" borderId="0" xfId="0" applyNumberFormat="1" applyFont="1" applyFill="1" applyAlignment="1">
      <alignment horizontal="center" vertical="center"/>
    </xf>
    <xf numFmtId="1" fontId="3" fillId="6" borderId="0" xfId="0" applyNumberFormat="1" applyFont="1" applyFill="1" applyAlignment="1">
      <alignment horizontal="center" vertical="center"/>
    </xf>
    <xf numFmtId="168" fontId="3" fillId="6" borderId="0" xfId="0" applyNumberFormat="1" applyFont="1" applyFill="1" applyAlignment="1">
      <alignment horizontal="center" vertical="center" wrapText="1"/>
    </xf>
    <xf numFmtId="168" fontId="3" fillId="0" borderId="0" xfId="0" applyNumberFormat="1" applyFont="1" applyAlignment="1">
      <alignment horizontal="center" vertical="center" wrapText="1"/>
    </xf>
    <xf numFmtId="0" fontId="6" fillId="0" borderId="0" xfId="1" applyFont="1" applyFill="1" applyAlignment="1">
      <alignment horizontal="left" vertical="top"/>
    </xf>
    <xf numFmtId="1" fontId="2" fillId="0" borderId="0" xfId="0" applyNumberFormat="1" applyFont="1" applyAlignment="1">
      <alignment horizontal="center" vertical="center"/>
    </xf>
    <xf numFmtId="168" fontId="2" fillId="0" borderId="0" xfId="0" applyNumberFormat="1" applyFont="1" applyAlignment="1">
      <alignment horizontal="center" vertical="center" wrapText="1"/>
    </xf>
    <xf numFmtId="2" fontId="0" fillId="0" borderId="0" xfId="0" applyNumberFormat="1"/>
    <xf numFmtId="0" fontId="2" fillId="2" borderId="0" xfId="0" applyFont="1" applyFill="1" applyAlignment="1">
      <alignment horizontal="center" vertical="top"/>
    </xf>
    <xf numFmtId="164" fontId="4" fillId="0" borderId="0" xfId="0" applyNumberFormat="1" applyFont="1" applyAlignment="1">
      <alignment horizontal="center" vertical="center"/>
    </xf>
    <xf numFmtId="0" fontId="2" fillId="0" borderId="0" xfId="0" applyFont="1" applyAlignment="1">
      <alignment horizontal="left" vertical="top"/>
    </xf>
    <xf numFmtId="0" fontId="7" fillId="0" borderId="0" xfId="1" applyFont="1" applyFill="1" applyAlignment="1">
      <alignment horizontal="left" vertical="top"/>
    </xf>
    <xf numFmtId="0" fontId="3" fillId="0" borderId="0" xfId="0" applyFont="1" applyAlignment="1">
      <alignment horizontal="left"/>
    </xf>
    <xf numFmtId="166" fontId="2" fillId="0" borderId="0" xfId="0" applyNumberFormat="1" applyFont="1" applyAlignment="1">
      <alignment horizontal="center" vertical="center"/>
    </xf>
    <xf numFmtId="168" fontId="2" fillId="0" borderId="0" xfId="0" applyNumberFormat="1" applyFont="1"/>
    <xf numFmtId="0" fontId="2" fillId="0" borderId="0" xfId="0" applyFont="1" applyAlignment="1">
      <alignment horizontal="left" vertical="center"/>
    </xf>
    <xf numFmtId="166" fontId="2" fillId="0" borderId="0" xfId="0" applyNumberFormat="1" applyFont="1" applyAlignment="1">
      <alignment horizontal="center"/>
    </xf>
    <xf numFmtId="0" fontId="3" fillId="0" borderId="0" xfId="0" applyFont="1" applyAlignment="1">
      <alignment horizontal="left" vertical="center"/>
    </xf>
    <xf numFmtId="0" fontId="3" fillId="0" borderId="0" xfId="0" applyFont="1" applyAlignment="1">
      <alignment horizontal="center" wrapText="1"/>
    </xf>
    <xf numFmtId="164" fontId="2" fillId="0" borderId="0" xfId="0" applyNumberFormat="1" applyFont="1" applyAlignment="1">
      <alignment horizontal="center"/>
    </xf>
    <xf numFmtId="2" fontId="2" fillId="0" borderId="0" xfId="0" applyNumberFormat="1" applyFont="1" applyAlignment="1">
      <alignment horizontal="left" vertical="center"/>
    </xf>
    <xf numFmtId="0" fontId="3" fillId="0" borderId="0" xfId="0" applyFont="1" applyAlignment="1">
      <alignment horizontal="center"/>
    </xf>
    <xf numFmtId="0" fontId="3" fillId="3" borderId="0" xfId="0" applyFont="1" applyFill="1" applyAlignment="1">
      <alignment horizontal="left" vertical="center"/>
    </xf>
    <xf numFmtId="0" fontId="3" fillId="3" borderId="0" xfId="0" applyFont="1" applyFill="1" applyAlignment="1">
      <alignment horizontal="left" vertical="top"/>
    </xf>
    <xf numFmtId="164" fontId="2" fillId="0" borderId="0" xfId="0" applyNumberFormat="1" applyFont="1" applyAlignment="1">
      <alignment vertical="center"/>
    </xf>
    <xf numFmtId="2" fontId="3" fillId="0" borderId="0" xfId="0" applyNumberFormat="1" applyFont="1" applyAlignment="1">
      <alignment vertical="center"/>
    </xf>
    <xf numFmtId="0" fontId="3" fillId="0" borderId="0" xfId="0" applyFont="1" applyAlignment="1">
      <alignment vertical="center"/>
    </xf>
    <xf numFmtId="2" fontId="3" fillId="0" borderId="0" xfId="0" applyNumberFormat="1" applyFont="1" applyAlignment="1">
      <alignment horizontal="center" vertical="center"/>
    </xf>
    <xf numFmtId="168" fontId="3" fillId="0" borderId="0" xfId="0" applyNumberFormat="1" applyFont="1" applyAlignment="1">
      <alignment vertical="center"/>
    </xf>
    <xf numFmtId="0" fontId="3" fillId="0" borderId="0" xfId="0" applyFont="1" applyAlignment="1">
      <alignment horizontal="center" vertical="top"/>
    </xf>
    <xf numFmtId="0" fontId="3" fillId="0" borderId="0" xfId="0" applyFont="1" applyAlignment="1">
      <alignment horizontal="left" vertical="top"/>
    </xf>
    <xf numFmtId="1" fontId="3" fillId="0" borderId="0" xfId="0" applyNumberFormat="1" applyFont="1" applyAlignment="1">
      <alignment horizontal="center" vertical="center"/>
    </xf>
    <xf numFmtId="0" fontId="8" fillId="0" borderId="0" xfId="0" applyFont="1"/>
    <xf numFmtId="167" fontId="2" fillId="0" borderId="0" xfId="0" applyNumberFormat="1" applyFont="1"/>
    <xf numFmtId="0" fontId="2" fillId="4" borderId="0" xfId="0" applyFont="1" applyFill="1" applyAlignment="1">
      <alignment horizontal="left" vertical="center" wrapText="1"/>
    </xf>
    <xf numFmtId="0" fontId="6" fillId="6" borderId="2" xfId="1" applyFont="1" applyFill="1" applyBorder="1" applyAlignment="1">
      <alignment horizontal="center" vertical="center"/>
    </xf>
    <xf numFmtId="0" fontId="6" fillId="6" borderId="3" xfId="1" applyFont="1" applyFill="1" applyBorder="1" applyAlignment="1">
      <alignment horizontal="center" vertical="center"/>
    </xf>
    <xf numFmtId="0" fontId="2" fillId="0" borderId="4" xfId="0" applyFont="1" applyBorder="1" applyAlignment="1">
      <alignment horizontal="center" vertical="center"/>
    </xf>
    <xf numFmtId="0" fontId="2" fillId="0" borderId="0" xfId="0" applyFont="1" applyAlignment="1">
      <alignment horizontal="center" vertical="center"/>
    </xf>
    <xf numFmtId="0" fontId="3" fillId="4" borderId="0" xfId="0" applyFont="1" applyFill="1" applyAlignment="1">
      <alignment horizontal="center"/>
    </xf>
    <xf numFmtId="0" fontId="2" fillId="4" borderId="0" xfId="0" applyFont="1" applyFill="1" applyAlignment="1">
      <alignment horizontal="left" vertical="center"/>
    </xf>
    <xf numFmtId="0" fontId="2" fillId="2" borderId="4" xfId="0" applyFont="1" applyFill="1" applyBorder="1" applyAlignment="1">
      <alignment horizontal="center" vertical="center"/>
    </xf>
    <xf numFmtId="0" fontId="3" fillId="4" borderId="0" xfId="0" applyFont="1" applyFill="1" applyAlignment="1">
      <alignment horizontal="center" vertical="center"/>
    </xf>
    <xf numFmtId="0" fontId="2" fillId="4" borderId="0" xfId="0" applyFont="1" applyFill="1" applyAlignment="1">
      <alignment vertical="top" wrapText="1"/>
    </xf>
    <xf numFmtId="0" fontId="2" fillId="4" borderId="0" xfId="0" applyFont="1" applyFill="1" applyAlignment="1">
      <alignment horizontal="center" vertical="center" wrapText="1"/>
    </xf>
    <xf numFmtId="0" fontId="3" fillId="6" borderId="1" xfId="0" applyFont="1" applyFill="1" applyBorder="1" applyAlignment="1">
      <alignment horizontal="center" vertical="center"/>
    </xf>
    <xf numFmtId="0" fontId="3" fillId="6" borderId="4" xfId="0" applyFont="1" applyFill="1" applyBorder="1" applyAlignment="1">
      <alignment horizontal="center" vertical="center"/>
    </xf>
    <xf numFmtId="0" fontId="3" fillId="6" borderId="2" xfId="0" applyFont="1" applyFill="1" applyBorder="1" applyAlignment="1">
      <alignment horizontal="center" vertical="center"/>
    </xf>
    <xf numFmtId="0" fontId="3" fillId="6" borderId="0" xfId="0" applyFont="1" applyFill="1" applyAlignment="1">
      <alignment horizontal="center" vertical="center"/>
    </xf>
    <xf numFmtId="164" fontId="2" fillId="0" borderId="0" xfId="0" applyNumberFormat="1" applyFont="1" applyAlignment="1">
      <alignment horizontal="center" vertical="center"/>
    </xf>
    <xf numFmtId="0" fontId="5" fillId="5" borderId="2" xfId="0" applyFont="1" applyFill="1" applyBorder="1" applyAlignment="1">
      <alignment horizontal="center"/>
    </xf>
    <xf numFmtId="0" fontId="4" fillId="0" borderId="0" xfId="0" applyFont="1" applyAlignment="1">
      <alignment horizontal="center"/>
    </xf>
    <xf numFmtId="0" fontId="3" fillId="5" borderId="2" xfId="0" applyFont="1" applyFill="1" applyBorder="1" applyAlignment="1">
      <alignment horizontal="center"/>
    </xf>
    <xf numFmtId="0" fontId="2" fillId="0" borderId="0" xfId="0" applyFont="1" applyAlignment="1">
      <alignment horizontal="center"/>
    </xf>
    <xf numFmtId="0" fontId="2" fillId="0" borderId="5" xfId="0" applyFont="1" applyBorder="1" applyAlignment="1">
      <alignment horizontal="center" vertical="center"/>
    </xf>
    <xf numFmtId="0" fontId="2" fillId="0" borderId="8" xfId="0" applyFont="1" applyBorder="1" applyAlignment="1">
      <alignment horizontal="center" vertical="center"/>
    </xf>
    <xf numFmtId="0" fontId="2" fillId="0" borderId="4" xfId="0" applyFont="1" applyBorder="1" applyAlignment="1">
      <alignment horizontal="left" vertical="center"/>
    </xf>
    <xf numFmtId="0" fontId="2" fillId="0" borderId="6" xfId="0" applyFont="1" applyBorder="1" applyAlignment="1">
      <alignment horizontal="left" vertical="center"/>
    </xf>
    <xf numFmtId="0" fontId="2" fillId="0" borderId="0" xfId="0" applyFont="1" applyAlignment="1">
      <alignment horizontal="center" vertical="center" wrapText="1"/>
    </xf>
    <xf numFmtId="0" fontId="2" fillId="0" borderId="7" xfId="0" applyFont="1" applyBorder="1" applyAlignment="1">
      <alignment horizontal="center" vertical="center" wrapText="1"/>
    </xf>
    <xf numFmtId="0" fontId="2" fillId="0" borderId="7" xfId="0" applyFont="1" applyBorder="1" applyAlignment="1">
      <alignment horizontal="center" vertical="center"/>
    </xf>
    <xf numFmtId="0" fontId="5" fillId="5" borderId="1" xfId="0" applyFont="1" applyFill="1" applyBorder="1" applyAlignment="1">
      <alignment horizontal="center" vertical="center"/>
    </xf>
    <xf numFmtId="0" fontId="5" fillId="5" borderId="2" xfId="0" applyFont="1" applyFill="1" applyBorder="1" applyAlignment="1">
      <alignment horizontal="center" vertical="center"/>
    </xf>
    <xf numFmtId="0" fontId="5" fillId="5" borderId="3" xfId="0" applyFont="1" applyFill="1" applyBorder="1" applyAlignment="1">
      <alignment horizontal="center" vertical="center"/>
    </xf>
    <xf numFmtId="0" fontId="3" fillId="0" borderId="6" xfId="0" applyFont="1" applyBorder="1" applyAlignment="1">
      <alignment horizontal="center"/>
    </xf>
    <xf numFmtId="0" fontId="3" fillId="0" borderId="7" xfId="0" applyFont="1" applyBorder="1" applyAlignment="1">
      <alignment horizontal="center"/>
    </xf>
    <xf numFmtId="0" fontId="3" fillId="3" borderId="1" xfId="0" applyFont="1" applyFill="1" applyBorder="1" applyAlignment="1">
      <alignment horizontal="center"/>
    </xf>
    <xf numFmtId="0" fontId="3" fillId="3" borderId="2" xfId="0" applyFont="1" applyFill="1" applyBorder="1" applyAlignment="1">
      <alignment horizontal="center"/>
    </xf>
    <xf numFmtId="0" fontId="3" fillId="3" borderId="3" xfId="0" applyFont="1" applyFill="1" applyBorder="1" applyAlignment="1">
      <alignment horizontal="center"/>
    </xf>
    <xf numFmtId="0" fontId="2" fillId="0" borderId="6" xfId="0" applyFont="1" applyBorder="1" applyAlignment="1">
      <alignment horizontal="left"/>
    </xf>
    <xf numFmtId="0" fontId="2" fillId="0" borderId="7" xfId="0" applyFont="1" applyBorder="1" applyAlignment="1">
      <alignment horizontal="left"/>
    </xf>
    <xf numFmtId="0" fontId="2" fillId="0" borderId="4" xfId="0" applyFont="1" applyBorder="1" applyAlignment="1">
      <alignment horizontal="left"/>
    </xf>
    <xf numFmtId="0" fontId="2" fillId="0" borderId="0" xfId="0" applyFont="1" applyAlignment="1">
      <alignment horizontal="left"/>
    </xf>
    <xf numFmtId="164" fontId="2" fillId="2" borderId="0" xfId="0" applyNumberFormat="1" applyFont="1" applyFill="1" applyAlignment="1">
      <alignment horizontal="center" vertical="center" wrapText="1"/>
    </xf>
    <xf numFmtId="0" fontId="3" fillId="2" borderId="0" xfId="0" applyFont="1" applyFill="1" applyAlignment="1">
      <alignment horizontal="center" vertical="center"/>
    </xf>
    <xf numFmtId="0" fontId="3" fillId="3" borderId="0" xfId="0" applyFont="1" applyFill="1" applyAlignment="1">
      <alignment horizontal="center" vertical="center"/>
    </xf>
    <xf numFmtId="1" fontId="2" fillId="0" borderId="0" xfId="0" applyNumberFormat="1" applyFont="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5493"/>
      <color rgb="FF942093"/>
      <color rgb="FFFF4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9.3962215119149706E-2"/>
          <c:y val="4.6401924367852669E-2"/>
          <c:w val="0.88802144781407277"/>
          <c:h val="0.82840986882903378"/>
        </c:manualLayout>
      </c:layout>
      <c:barChart>
        <c:barDir val="col"/>
        <c:grouping val="clustered"/>
        <c:varyColors val="0"/>
        <c:ser>
          <c:idx val="0"/>
          <c:order val="0"/>
          <c:tx>
            <c:v>Model</c:v>
          </c:tx>
          <c:spPr>
            <a:solidFill>
              <a:schemeClr val="accent6">
                <a:lumMod val="40000"/>
                <a:lumOff val="60000"/>
              </a:schemeClr>
            </a:solidFill>
            <a:ln>
              <a:noFill/>
            </a:ln>
            <a:effectLst/>
          </c:spPr>
          <c:invertIfNegative val="0"/>
          <c:cat>
            <c:strRef>
              <c:f>BPCA_Model_400!$G$30:$N$30</c:f>
              <c:strCache>
                <c:ptCount val="6"/>
                <c:pt idx="0">
                  <c:v>B2CA-1 </c:v>
                </c:pt>
                <c:pt idx="1">
                  <c:v>B3CA-2</c:v>
                </c:pt>
                <c:pt idx="2">
                  <c:v>B4CA-2</c:v>
                </c:pt>
                <c:pt idx="3">
                  <c:v>B4CA-3</c:v>
                </c:pt>
                <c:pt idx="4">
                  <c:v>B5CA</c:v>
                </c:pt>
                <c:pt idx="5">
                  <c:v>B6CA</c:v>
                </c:pt>
              </c:strCache>
            </c:strRef>
          </c:cat>
          <c:val>
            <c:numRef>
              <c:f>BPCA_Model_400!$G$31:$N$31</c:f>
              <c:numCache>
                <c:formatCode>0.0000</c:formatCode>
                <c:ptCount val="6"/>
                <c:pt idx="0">
                  <c:v>4.5454545454545456E-2</c:v>
                </c:pt>
                <c:pt idx="1">
                  <c:v>0.14568181818181819</c:v>
                </c:pt>
                <c:pt idx="2">
                  <c:v>6.8181818181818177E-2</c:v>
                </c:pt>
                <c:pt idx="3">
                  <c:v>0.15379870129870132</c:v>
                </c:pt>
                <c:pt idx="4">
                  <c:v>0.33025974025974025</c:v>
                </c:pt>
                <c:pt idx="5">
                  <c:v>0.25662337662337659</c:v>
                </c:pt>
              </c:numCache>
            </c:numRef>
          </c:val>
          <c:extLst>
            <c:ext xmlns:c16="http://schemas.microsoft.com/office/drawing/2014/chart" uri="{C3380CC4-5D6E-409C-BE32-E72D297353CC}">
              <c16:uniqueId val="{00000000-4D35-BC48-AA60-8968AE682CBE}"/>
            </c:ext>
          </c:extLst>
        </c:ser>
        <c:ser>
          <c:idx val="1"/>
          <c:order val="1"/>
          <c:tx>
            <c:v>Experiments</c:v>
          </c:tx>
          <c:spPr>
            <a:solidFill>
              <a:schemeClr val="accent5">
                <a:lumMod val="40000"/>
                <a:lumOff val="60000"/>
              </a:schemeClr>
            </a:solidFill>
            <a:ln>
              <a:noFill/>
            </a:ln>
            <a:effectLst/>
          </c:spPr>
          <c:invertIfNegative val="0"/>
          <c:errBars>
            <c:errBarType val="both"/>
            <c:errValType val="cust"/>
            <c:noEndCap val="0"/>
            <c:plus>
              <c:numRef>
                <c:f>BPCA_Model_400!$G$33:$N$33</c:f>
                <c:numCache>
                  <c:formatCode>General</c:formatCode>
                  <c:ptCount val="6"/>
                  <c:pt idx="0">
                    <c:v>1.452008162960407E-3</c:v>
                  </c:pt>
                  <c:pt idx="1">
                    <c:v>8.3658774694223576E-3</c:v>
                  </c:pt>
                  <c:pt idx="2">
                    <c:v>6.4134346735433378E-4</c:v>
                  </c:pt>
                  <c:pt idx="3">
                    <c:v>4.2218260434022901E-2</c:v>
                  </c:pt>
                  <c:pt idx="4">
                    <c:v>2.7555996511292324E-2</c:v>
                  </c:pt>
                  <c:pt idx="5">
                    <c:v>4.460973667386943E-2</c:v>
                  </c:pt>
                </c:numCache>
              </c:numRef>
            </c:plus>
            <c:minus>
              <c:numRef>
                <c:f>BPCA_Model_400!$G$33:$N$33</c:f>
                <c:numCache>
                  <c:formatCode>General</c:formatCode>
                  <c:ptCount val="6"/>
                  <c:pt idx="0">
                    <c:v>1.452008162960407E-3</c:v>
                  </c:pt>
                  <c:pt idx="1">
                    <c:v>8.3658774694223576E-3</c:v>
                  </c:pt>
                  <c:pt idx="2">
                    <c:v>6.4134346735433378E-4</c:v>
                  </c:pt>
                  <c:pt idx="3">
                    <c:v>4.2218260434022901E-2</c:v>
                  </c:pt>
                  <c:pt idx="4">
                    <c:v>2.7555996511292324E-2</c:v>
                  </c:pt>
                  <c:pt idx="5">
                    <c:v>4.460973667386943E-2</c:v>
                  </c:pt>
                </c:numCache>
              </c:numRef>
            </c:minus>
            <c:spPr>
              <a:noFill/>
              <a:ln w="12700" cap="flat" cmpd="sng" algn="ctr">
                <a:solidFill>
                  <a:schemeClr val="tx1"/>
                </a:solidFill>
                <a:round/>
              </a:ln>
              <a:effectLst/>
            </c:spPr>
          </c:errBars>
          <c:cat>
            <c:strRef>
              <c:f>BPCA_Model_400!$G$30:$N$30</c:f>
              <c:strCache>
                <c:ptCount val="6"/>
                <c:pt idx="0">
                  <c:v>B2CA-1 </c:v>
                </c:pt>
                <c:pt idx="1">
                  <c:v>B3CA-2</c:v>
                </c:pt>
                <c:pt idx="2">
                  <c:v>B4CA-2</c:v>
                </c:pt>
                <c:pt idx="3">
                  <c:v>B4CA-3</c:v>
                </c:pt>
                <c:pt idx="4">
                  <c:v>B5CA</c:v>
                </c:pt>
                <c:pt idx="5">
                  <c:v>B6CA</c:v>
                </c:pt>
              </c:strCache>
            </c:strRef>
          </c:cat>
          <c:val>
            <c:numRef>
              <c:f>BPCA_Model_400!$G$32:$N$32</c:f>
              <c:numCache>
                <c:formatCode>0.0000</c:formatCode>
                <c:ptCount val="6"/>
                <c:pt idx="0">
                  <c:v>4.321199577936561E-2</c:v>
                </c:pt>
                <c:pt idx="1">
                  <c:v>0.14932644696928848</c:v>
                </c:pt>
                <c:pt idx="2">
                  <c:v>6.7677328466173317E-2</c:v>
                </c:pt>
                <c:pt idx="3">
                  <c:v>0.15332365253896416</c:v>
                </c:pt>
                <c:pt idx="4">
                  <c:v>0.36028783063541181</c:v>
                </c:pt>
                <c:pt idx="5">
                  <c:v>0.22617274561079651</c:v>
                </c:pt>
              </c:numCache>
            </c:numRef>
          </c:val>
          <c:extLst>
            <c:ext xmlns:c16="http://schemas.microsoft.com/office/drawing/2014/chart" uri="{C3380CC4-5D6E-409C-BE32-E72D297353CC}">
              <c16:uniqueId val="{00000001-4D35-BC48-AA60-8968AE682CBE}"/>
            </c:ext>
          </c:extLst>
        </c:ser>
        <c:dLbls>
          <c:showLegendKey val="0"/>
          <c:showVal val="0"/>
          <c:showCatName val="0"/>
          <c:showSerName val="0"/>
          <c:showPercent val="0"/>
          <c:showBubbleSize val="0"/>
        </c:dLbls>
        <c:gapWidth val="219"/>
        <c:overlap val="-27"/>
        <c:axId val="1432589919"/>
        <c:axId val="1432814063"/>
      </c:barChart>
      <c:catAx>
        <c:axId val="1432589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814063"/>
        <c:crosses val="autoZero"/>
        <c:auto val="1"/>
        <c:lblAlgn val="ctr"/>
        <c:lblOffset val="100"/>
        <c:noMultiLvlLbl val="0"/>
      </c:catAx>
      <c:valAx>
        <c:axId val="1432814063"/>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589919"/>
        <c:crosses val="autoZero"/>
        <c:crossBetween val="between"/>
      </c:valAx>
      <c:spPr>
        <a:noFill/>
        <a:ln>
          <a:noFill/>
        </a:ln>
        <a:effectLst/>
      </c:spPr>
    </c:plotArea>
    <c:legend>
      <c:legendPos val="b"/>
      <c:layout>
        <c:manualLayout>
          <c:xMode val="edge"/>
          <c:yMode val="edge"/>
          <c:x val="0.17885565669700912"/>
          <c:y val="0.15618286520155125"/>
          <c:w val="0.37463354209436694"/>
          <c:h val="6.692572470206609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0.10716353525116291"/>
          <c:y val="4.6401924367852669E-2"/>
          <c:w val="0.87482012768205952"/>
          <c:h val="0.82840986882903378"/>
        </c:manualLayout>
      </c:layout>
      <c:barChart>
        <c:barDir val="col"/>
        <c:grouping val="clustered"/>
        <c:varyColors val="0"/>
        <c:ser>
          <c:idx val="0"/>
          <c:order val="0"/>
          <c:tx>
            <c:v>Model</c:v>
          </c:tx>
          <c:spPr>
            <a:solidFill>
              <a:schemeClr val="accent6">
                <a:lumMod val="40000"/>
                <a:lumOff val="60000"/>
              </a:schemeClr>
            </a:solidFill>
            <a:ln>
              <a:noFill/>
            </a:ln>
            <a:effectLst/>
          </c:spPr>
          <c:invertIfNegative val="0"/>
          <c:cat>
            <c:strRef>
              <c:f>BPCA_Model_500!$G$30:$N$30</c:f>
              <c:strCache>
                <c:ptCount val="6"/>
                <c:pt idx="0">
                  <c:v>B2CA-1 </c:v>
                </c:pt>
                <c:pt idx="1">
                  <c:v>B3CA-2</c:v>
                </c:pt>
                <c:pt idx="2">
                  <c:v>B4CA-2</c:v>
                </c:pt>
                <c:pt idx="3">
                  <c:v>B4CA-3</c:v>
                </c:pt>
                <c:pt idx="4">
                  <c:v>B5CA</c:v>
                </c:pt>
                <c:pt idx="5">
                  <c:v>B6CA</c:v>
                </c:pt>
              </c:strCache>
            </c:strRef>
          </c:cat>
          <c:val>
            <c:numRef>
              <c:f>BPCA_Model_500!$G$31:$N$31</c:f>
              <c:numCache>
                <c:formatCode>0.0000</c:formatCode>
                <c:ptCount val="6"/>
                <c:pt idx="0">
                  <c:v>3.9639639639639644E-2</c:v>
                </c:pt>
                <c:pt idx="1">
                  <c:v>0.11027027027027027</c:v>
                </c:pt>
                <c:pt idx="2">
                  <c:v>5.9459459459459456E-2</c:v>
                </c:pt>
                <c:pt idx="3">
                  <c:v>0.14233692338955498</c:v>
                </c:pt>
                <c:pt idx="4">
                  <c:v>0.34748492853756008</c:v>
                </c:pt>
                <c:pt idx="5">
                  <c:v>0.30080877870351552</c:v>
                </c:pt>
              </c:numCache>
            </c:numRef>
          </c:val>
          <c:extLst>
            <c:ext xmlns:c16="http://schemas.microsoft.com/office/drawing/2014/chart" uri="{C3380CC4-5D6E-409C-BE32-E72D297353CC}">
              <c16:uniqueId val="{00000000-1F21-9B45-AB54-E50BB2B93055}"/>
            </c:ext>
          </c:extLst>
        </c:ser>
        <c:ser>
          <c:idx val="1"/>
          <c:order val="1"/>
          <c:tx>
            <c:v>Experiments</c:v>
          </c:tx>
          <c:spPr>
            <a:solidFill>
              <a:schemeClr val="accent5">
                <a:lumMod val="40000"/>
                <a:lumOff val="60000"/>
              </a:schemeClr>
            </a:solidFill>
            <a:ln>
              <a:noFill/>
            </a:ln>
            <a:effectLst/>
          </c:spPr>
          <c:invertIfNegative val="0"/>
          <c:errBars>
            <c:errBarType val="both"/>
            <c:errValType val="cust"/>
            <c:noEndCap val="0"/>
            <c:plus>
              <c:numRef>
                <c:f>BPCA_Model_500!$G$33:$N$33</c:f>
                <c:numCache>
                  <c:formatCode>General</c:formatCode>
                  <c:ptCount val="6"/>
                  <c:pt idx="0">
                    <c:v>7.3890280749442793E-4</c:v>
                  </c:pt>
                  <c:pt idx="1">
                    <c:v>6.0494836438689413E-3</c:v>
                  </c:pt>
                  <c:pt idx="2">
                    <c:v>4.44949241933013E-4</c:v>
                  </c:pt>
                  <c:pt idx="3">
                    <c:v>4.3619769626533174E-3</c:v>
                  </c:pt>
                  <c:pt idx="4">
                    <c:v>5.1746708639145347E-3</c:v>
                  </c:pt>
                  <c:pt idx="5">
                    <c:v>5.5307433081690401E-3</c:v>
                  </c:pt>
                </c:numCache>
              </c:numRef>
            </c:plus>
            <c:minus>
              <c:numRef>
                <c:f>BPCA_Model_500!$G$33:$N$33</c:f>
                <c:numCache>
                  <c:formatCode>General</c:formatCode>
                  <c:ptCount val="6"/>
                  <c:pt idx="0">
                    <c:v>7.3890280749442793E-4</c:v>
                  </c:pt>
                  <c:pt idx="1">
                    <c:v>6.0494836438689413E-3</c:v>
                  </c:pt>
                  <c:pt idx="2">
                    <c:v>4.44949241933013E-4</c:v>
                  </c:pt>
                  <c:pt idx="3">
                    <c:v>4.3619769626533174E-3</c:v>
                  </c:pt>
                  <c:pt idx="4">
                    <c:v>5.1746708639145347E-3</c:v>
                  </c:pt>
                  <c:pt idx="5">
                    <c:v>5.5307433081690401E-3</c:v>
                  </c:pt>
                </c:numCache>
              </c:numRef>
            </c:minus>
            <c:spPr>
              <a:noFill/>
              <a:ln w="12700" cap="flat" cmpd="sng" algn="ctr">
                <a:solidFill>
                  <a:schemeClr val="tx1"/>
                </a:solidFill>
                <a:round/>
              </a:ln>
              <a:effectLst/>
            </c:spPr>
          </c:errBars>
          <c:cat>
            <c:strRef>
              <c:f>BPCA_Model_500!$G$30:$N$30</c:f>
              <c:strCache>
                <c:ptCount val="6"/>
                <c:pt idx="0">
                  <c:v>B2CA-1 </c:v>
                </c:pt>
                <c:pt idx="1">
                  <c:v>B3CA-2</c:v>
                </c:pt>
                <c:pt idx="2">
                  <c:v>B4CA-2</c:v>
                </c:pt>
                <c:pt idx="3">
                  <c:v>B4CA-3</c:v>
                </c:pt>
                <c:pt idx="4">
                  <c:v>B5CA</c:v>
                </c:pt>
                <c:pt idx="5">
                  <c:v>B6CA</c:v>
                </c:pt>
              </c:strCache>
            </c:strRef>
          </c:cat>
          <c:val>
            <c:numRef>
              <c:f>BPCA_Model_500!$G$32:$N$32</c:f>
              <c:numCache>
                <c:formatCode>0.0000</c:formatCode>
                <c:ptCount val="6"/>
                <c:pt idx="0">
                  <c:v>3.6387734810022998E-2</c:v>
                </c:pt>
                <c:pt idx="1">
                  <c:v>0.11050796506756461</c:v>
                </c:pt>
                <c:pt idx="2">
                  <c:v>5.7585518231114477E-2</c:v>
                </c:pt>
                <c:pt idx="3">
                  <c:v>0.14211236193881485</c:v>
                </c:pt>
                <c:pt idx="4">
                  <c:v>0.35258252683498492</c:v>
                </c:pt>
                <c:pt idx="5">
                  <c:v>0.30082389311749813</c:v>
                </c:pt>
              </c:numCache>
            </c:numRef>
          </c:val>
          <c:extLst>
            <c:ext xmlns:c16="http://schemas.microsoft.com/office/drawing/2014/chart" uri="{C3380CC4-5D6E-409C-BE32-E72D297353CC}">
              <c16:uniqueId val="{00000001-1F21-9B45-AB54-E50BB2B93055}"/>
            </c:ext>
          </c:extLst>
        </c:ser>
        <c:dLbls>
          <c:showLegendKey val="0"/>
          <c:showVal val="0"/>
          <c:showCatName val="0"/>
          <c:showSerName val="0"/>
          <c:showPercent val="0"/>
          <c:showBubbleSize val="0"/>
        </c:dLbls>
        <c:gapWidth val="219"/>
        <c:overlap val="-27"/>
        <c:axId val="1432589919"/>
        <c:axId val="1432814063"/>
      </c:barChart>
      <c:catAx>
        <c:axId val="1432589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814063"/>
        <c:crosses val="autoZero"/>
        <c:auto val="1"/>
        <c:lblAlgn val="ctr"/>
        <c:lblOffset val="100"/>
        <c:noMultiLvlLbl val="0"/>
      </c:catAx>
      <c:valAx>
        <c:axId val="1432814063"/>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589919"/>
        <c:crosses val="autoZero"/>
        <c:crossBetween val="between"/>
      </c:valAx>
      <c:spPr>
        <a:noFill/>
        <a:ln>
          <a:noFill/>
        </a:ln>
        <a:effectLst/>
      </c:spPr>
    </c:plotArea>
    <c:legend>
      <c:legendPos val="b"/>
      <c:layout>
        <c:manualLayout>
          <c:xMode val="edge"/>
          <c:yMode val="edge"/>
          <c:x val="0.17885565669700912"/>
          <c:y val="0.15618286520155125"/>
          <c:w val="0.39663574231438892"/>
          <c:h val="6.692572470206609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8.9561775075145303E-2"/>
          <c:y val="4.6401924367852669E-2"/>
          <c:w val="0.8924218878580773"/>
          <c:h val="0.82840986882903378"/>
        </c:manualLayout>
      </c:layout>
      <c:barChart>
        <c:barDir val="col"/>
        <c:grouping val="clustered"/>
        <c:varyColors val="0"/>
        <c:ser>
          <c:idx val="0"/>
          <c:order val="0"/>
          <c:tx>
            <c:v>Model</c:v>
          </c:tx>
          <c:spPr>
            <a:solidFill>
              <a:schemeClr val="accent6">
                <a:lumMod val="40000"/>
                <a:lumOff val="60000"/>
              </a:schemeClr>
            </a:solidFill>
            <a:ln>
              <a:noFill/>
            </a:ln>
            <a:effectLst/>
          </c:spPr>
          <c:invertIfNegative val="0"/>
          <c:cat>
            <c:strRef>
              <c:f>BPCA_Model_600!$G$30:$N$30</c:f>
              <c:strCache>
                <c:ptCount val="6"/>
                <c:pt idx="0">
                  <c:v>B2CA-1 </c:v>
                </c:pt>
                <c:pt idx="1">
                  <c:v>B3CA-2</c:v>
                </c:pt>
                <c:pt idx="2">
                  <c:v>B4CA-2</c:v>
                </c:pt>
                <c:pt idx="3">
                  <c:v>B4CA-3</c:v>
                </c:pt>
                <c:pt idx="4">
                  <c:v>B5CA</c:v>
                </c:pt>
                <c:pt idx="5">
                  <c:v>B6CA</c:v>
                </c:pt>
              </c:strCache>
            </c:strRef>
          </c:cat>
          <c:val>
            <c:numRef>
              <c:f>BPCA_Model_600!$G$31:$N$31</c:f>
              <c:numCache>
                <c:formatCode>0.0000</c:formatCode>
                <c:ptCount val="6"/>
                <c:pt idx="0">
                  <c:v>1.9607843137254902E-2</c:v>
                </c:pt>
                <c:pt idx="1">
                  <c:v>6.352941176470589E-2</c:v>
                </c:pt>
                <c:pt idx="2">
                  <c:v>2.9411764705882353E-2</c:v>
                </c:pt>
                <c:pt idx="3">
                  <c:v>0.15911764705882353</c:v>
                </c:pt>
                <c:pt idx="4">
                  <c:v>0.32758169934640519</c:v>
                </c:pt>
                <c:pt idx="5">
                  <c:v>0.40075163398692809</c:v>
                </c:pt>
              </c:numCache>
            </c:numRef>
          </c:val>
          <c:extLst>
            <c:ext xmlns:c16="http://schemas.microsoft.com/office/drawing/2014/chart" uri="{C3380CC4-5D6E-409C-BE32-E72D297353CC}">
              <c16:uniqueId val="{00000000-87A4-7443-AB0B-316BF005ABCA}"/>
            </c:ext>
          </c:extLst>
        </c:ser>
        <c:ser>
          <c:idx val="1"/>
          <c:order val="1"/>
          <c:tx>
            <c:v>Experiments</c:v>
          </c:tx>
          <c:spPr>
            <a:solidFill>
              <a:schemeClr val="accent5">
                <a:lumMod val="40000"/>
                <a:lumOff val="60000"/>
              </a:schemeClr>
            </a:solidFill>
            <a:ln>
              <a:noFill/>
            </a:ln>
            <a:effectLst/>
          </c:spPr>
          <c:invertIfNegative val="0"/>
          <c:errBars>
            <c:errBarType val="both"/>
            <c:errValType val="cust"/>
            <c:noEndCap val="0"/>
            <c:plus>
              <c:numRef>
                <c:f>BPCA_Model_600!$G$33:$N$33</c:f>
                <c:numCache>
                  <c:formatCode>General</c:formatCode>
                  <c:ptCount val="6"/>
                  <c:pt idx="0">
                    <c:v>8.1329800487500909E-4</c:v>
                  </c:pt>
                  <c:pt idx="1">
                    <c:v>6.6581794382708677E-3</c:v>
                  </c:pt>
                  <c:pt idx="2">
                    <c:v>1.4903963010309616E-3</c:v>
                  </c:pt>
                  <c:pt idx="3">
                    <c:v>4.8679067158982174E-3</c:v>
                  </c:pt>
                  <c:pt idx="4">
                    <c:v>7.3795602804227027E-3</c:v>
                  </c:pt>
                  <c:pt idx="5">
                    <c:v>5.8422164928758347E-3</c:v>
                  </c:pt>
                </c:numCache>
              </c:numRef>
            </c:plus>
            <c:minus>
              <c:numRef>
                <c:f>BPCA_Model_600!$G$33:$N$33</c:f>
                <c:numCache>
                  <c:formatCode>General</c:formatCode>
                  <c:ptCount val="6"/>
                  <c:pt idx="0">
                    <c:v>8.1329800487500909E-4</c:v>
                  </c:pt>
                  <c:pt idx="1">
                    <c:v>6.6581794382708677E-3</c:v>
                  </c:pt>
                  <c:pt idx="2">
                    <c:v>1.4903963010309616E-3</c:v>
                  </c:pt>
                  <c:pt idx="3">
                    <c:v>4.8679067158982174E-3</c:v>
                  </c:pt>
                  <c:pt idx="4">
                    <c:v>7.3795602804227027E-3</c:v>
                  </c:pt>
                  <c:pt idx="5">
                    <c:v>5.8422164928758347E-3</c:v>
                  </c:pt>
                </c:numCache>
              </c:numRef>
            </c:minus>
            <c:spPr>
              <a:noFill/>
              <a:ln w="12700" cap="flat" cmpd="sng" algn="ctr">
                <a:solidFill>
                  <a:schemeClr val="tx1"/>
                </a:solidFill>
                <a:round/>
              </a:ln>
              <a:effectLst/>
            </c:spPr>
          </c:errBars>
          <c:cat>
            <c:strRef>
              <c:f>BPCA_Model_600!$G$30:$N$30</c:f>
              <c:strCache>
                <c:ptCount val="6"/>
                <c:pt idx="0">
                  <c:v>B2CA-1 </c:v>
                </c:pt>
                <c:pt idx="1">
                  <c:v>B3CA-2</c:v>
                </c:pt>
                <c:pt idx="2">
                  <c:v>B4CA-2</c:v>
                </c:pt>
                <c:pt idx="3">
                  <c:v>B4CA-3</c:v>
                </c:pt>
                <c:pt idx="4">
                  <c:v>B5CA</c:v>
                </c:pt>
                <c:pt idx="5">
                  <c:v>B6CA</c:v>
                </c:pt>
              </c:strCache>
            </c:strRef>
          </c:cat>
          <c:val>
            <c:numRef>
              <c:f>BPCA_Model_600!$G$32:$N$32</c:f>
              <c:numCache>
                <c:formatCode>0.0000</c:formatCode>
                <c:ptCount val="6"/>
                <c:pt idx="0">
                  <c:v>2.0070599778316559E-2</c:v>
                </c:pt>
                <c:pt idx="1">
                  <c:v>6.7155269359706268E-2</c:v>
                </c:pt>
                <c:pt idx="2">
                  <c:v>3.4547196647557121E-2</c:v>
                </c:pt>
                <c:pt idx="3">
                  <c:v>0.1300441334632115</c:v>
                </c:pt>
                <c:pt idx="4">
                  <c:v>0.3249240329328747</c:v>
                </c:pt>
                <c:pt idx="5">
                  <c:v>0.42325876781833377</c:v>
                </c:pt>
              </c:numCache>
            </c:numRef>
          </c:val>
          <c:extLst>
            <c:ext xmlns:c16="http://schemas.microsoft.com/office/drawing/2014/chart" uri="{C3380CC4-5D6E-409C-BE32-E72D297353CC}">
              <c16:uniqueId val="{00000001-87A4-7443-AB0B-316BF005ABCA}"/>
            </c:ext>
          </c:extLst>
        </c:ser>
        <c:dLbls>
          <c:showLegendKey val="0"/>
          <c:showVal val="0"/>
          <c:showCatName val="0"/>
          <c:showSerName val="0"/>
          <c:showPercent val="0"/>
          <c:showBubbleSize val="0"/>
        </c:dLbls>
        <c:gapWidth val="219"/>
        <c:overlap val="-27"/>
        <c:axId val="1432589919"/>
        <c:axId val="1432814063"/>
      </c:barChart>
      <c:catAx>
        <c:axId val="1432589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814063"/>
        <c:crosses val="autoZero"/>
        <c:auto val="1"/>
        <c:lblAlgn val="ctr"/>
        <c:lblOffset val="100"/>
        <c:noMultiLvlLbl val="0"/>
      </c:catAx>
      <c:valAx>
        <c:axId val="1432814063"/>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589919"/>
        <c:crosses val="autoZero"/>
        <c:crossBetween val="between"/>
      </c:valAx>
      <c:spPr>
        <a:noFill/>
        <a:ln>
          <a:noFill/>
        </a:ln>
        <a:effectLst/>
      </c:spPr>
    </c:plotArea>
    <c:legend>
      <c:legendPos val="b"/>
      <c:layout>
        <c:manualLayout>
          <c:xMode val="edge"/>
          <c:yMode val="edge"/>
          <c:x val="0.17885565669700912"/>
          <c:y val="0.15618286520155125"/>
          <c:w val="0.35043112185234276"/>
          <c:h val="6.692572470206609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9.6162435141151914E-2"/>
          <c:y val="4.6401924367852669E-2"/>
          <c:w val="0.88582122779207051"/>
          <c:h val="0.82840986882903378"/>
        </c:manualLayout>
      </c:layout>
      <c:barChart>
        <c:barDir val="col"/>
        <c:grouping val="clustered"/>
        <c:varyColors val="0"/>
        <c:ser>
          <c:idx val="0"/>
          <c:order val="0"/>
          <c:tx>
            <c:v>Model</c:v>
          </c:tx>
          <c:spPr>
            <a:solidFill>
              <a:schemeClr val="accent6">
                <a:lumMod val="40000"/>
                <a:lumOff val="60000"/>
              </a:schemeClr>
            </a:solidFill>
            <a:ln>
              <a:noFill/>
            </a:ln>
            <a:effectLst/>
          </c:spPr>
          <c:invertIfNegative val="0"/>
          <c:cat>
            <c:strRef>
              <c:f>BPCA_Model_700!$G$30:$N$30</c:f>
              <c:strCache>
                <c:ptCount val="6"/>
                <c:pt idx="0">
                  <c:v>B2CA-1 </c:v>
                </c:pt>
                <c:pt idx="1">
                  <c:v>B3CA-2</c:v>
                </c:pt>
                <c:pt idx="2">
                  <c:v>B4CA-2</c:v>
                </c:pt>
                <c:pt idx="3">
                  <c:v>B4CA-3</c:v>
                </c:pt>
                <c:pt idx="4">
                  <c:v>B5CA</c:v>
                </c:pt>
                <c:pt idx="5">
                  <c:v>B6CA</c:v>
                </c:pt>
              </c:strCache>
            </c:strRef>
          </c:cat>
          <c:val>
            <c:numRef>
              <c:f>BPCA_Model_700!$G$31:$N$31</c:f>
              <c:numCache>
                <c:formatCode>0.0000</c:formatCode>
                <c:ptCount val="6"/>
                <c:pt idx="0">
                  <c:v>1.5909090909090907E-2</c:v>
                </c:pt>
                <c:pt idx="1">
                  <c:v>2.7272727272727278E-2</c:v>
                </c:pt>
                <c:pt idx="2">
                  <c:v>6.8181818181818179E-3</c:v>
                </c:pt>
                <c:pt idx="3">
                  <c:v>0.19222873900293258</c:v>
                </c:pt>
                <c:pt idx="4">
                  <c:v>0.31212121212121208</c:v>
                </c:pt>
                <c:pt idx="5">
                  <c:v>0.44565004887585535</c:v>
                </c:pt>
              </c:numCache>
            </c:numRef>
          </c:val>
          <c:extLst>
            <c:ext xmlns:c16="http://schemas.microsoft.com/office/drawing/2014/chart" uri="{C3380CC4-5D6E-409C-BE32-E72D297353CC}">
              <c16:uniqueId val="{00000000-58C7-6248-AB7E-A949AC22691D}"/>
            </c:ext>
          </c:extLst>
        </c:ser>
        <c:ser>
          <c:idx val="1"/>
          <c:order val="1"/>
          <c:tx>
            <c:v>Experiments</c:v>
          </c:tx>
          <c:spPr>
            <a:solidFill>
              <a:schemeClr val="accent5">
                <a:lumMod val="40000"/>
                <a:lumOff val="60000"/>
              </a:schemeClr>
            </a:solidFill>
            <a:ln>
              <a:noFill/>
            </a:ln>
            <a:effectLst/>
          </c:spPr>
          <c:invertIfNegative val="0"/>
          <c:errBars>
            <c:errBarType val="both"/>
            <c:errValType val="cust"/>
            <c:noEndCap val="0"/>
            <c:plus>
              <c:numRef>
                <c:f>BPCA_Model_700!$G$33:$N$33</c:f>
                <c:numCache>
                  <c:formatCode>General</c:formatCode>
                  <c:ptCount val="6"/>
                  <c:pt idx="0">
                    <c:v>3.3752394696415617E-3</c:v>
                  </c:pt>
                  <c:pt idx="1">
                    <c:v>2.5420763575197962E-3</c:v>
                  </c:pt>
                  <c:pt idx="2">
                    <c:v>1.9634220262432674E-3</c:v>
                  </c:pt>
                  <c:pt idx="3">
                    <c:v>1.5722680239762876E-2</c:v>
                  </c:pt>
                  <c:pt idx="4">
                    <c:v>5.4432833074832605E-2</c:v>
                  </c:pt>
                  <c:pt idx="5">
                    <c:v>7.7360877544426734E-2</c:v>
                  </c:pt>
                </c:numCache>
              </c:numRef>
            </c:plus>
            <c:minus>
              <c:numRef>
                <c:f>BPCA_Model_700!$G$33:$N$33</c:f>
                <c:numCache>
                  <c:formatCode>General</c:formatCode>
                  <c:ptCount val="6"/>
                  <c:pt idx="0">
                    <c:v>3.3752394696415617E-3</c:v>
                  </c:pt>
                  <c:pt idx="1">
                    <c:v>2.5420763575197962E-3</c:v>
                  </c:pt>
                  <c:pt idx="2">
                    <c:v>1.9634220262432674E-3</c:v>
                  </c:pt>
                  <c:pt idx="3">
                    <c:v>1.5722680239762876E-2</c:v>
                  </c:pt>
                  <c:pt idx="4">
                    <c:v>5.4432833074832605E-2</c:v>
                  </c:pt>
                  <c:pt idx="5">
                    <c:v>7.7360877544426734E-2</c:v>
                  </c:pt>
                </c:numCache>
              </c:numRef>
            </c:minus>
            <c:spPr>
              <a:noFill/>
              <a:ln w="12700" cap="flat" cmpd="sng" algn="ctr">
                <a:solidFill>
                  <a:schemeClr val="tx1"/>
                </a:solidFill>
                <a:round/>
              </a:ln>
              <a:effectLst/>
            </c:spPr>
          </c:errBars>
          <c:cat>
            <c:strRef>
              <c:f>BPCA_Model_700!$G$30:$N$30</c:f>
              <c:strCache>
                <c:ptCount val="6"/>
                <c:pt idx="0">
                  <c:v>B2CA-1 </c:v>
                </c:pt>
                <c:pt idx="1">
                  <c:v>B3CA-2</c:v>
                </c:pt>
                <c:pt idx="2">
                  <c:v>B4CA-2</c:v>
                </c:pt>
                <c:pt idx="3">
                  <c:v>B4CA-3</c:v>
                </c:pt>
                <c:pt idx="4">
                  <c:v>B5CA</c:v>
                </c:pt>
                <c:pt idx="5">
                  <c:v>B6CA</c:v>
                </c:pt>
              </c:strCache>
            </c:strRef>
          </c:cat>
          <c:val>
            <c:numRef>
              <c:f>BPCA_Model_700!$G$32:$N$32</c:f>
              <c:numCache>
                <c:formatCode>0.0000</c:formatCode>
                <c:ptCount val="6"/>
                <c:pt idx="0">
                  <c:v>1.7798234948509826E-2</c:v>
                </c:pt>
                <c:pt idx="1">
                  <c:v>2.6873957656278813E-2</c:v>
                </c:pt>
                <c:pt idx="2">
                  <c:v>7.4240498269105603E-3</c:v>
                </c:pt>
                <c:pt idx="3">
                  <c:v>9.9811377982015628E-2</c:v>
                </c:pt>
                <c:pt idx="4">
                  <c:v>0.30986523757109552</c:v>
                </c:pt>
                <c:pt idx="5">
                  <c:v>0.53822714201518951</c:v>
                </c:pt>
              </c:numCache>
            </c:numRef>
          </c:val>
          <c:extLst>
            <c:ext xmlns:c16="http://schemas.microsoft.com/office/drawing/2014/chart" uri="{C3380CC4-5D6E-409C-BE32-E72D297353CC}">
              <c16:uniqueId val="{00000001-58C7-6248-AB7E-A949AC22691D}"/>
            </c:ext>
          </c:extLst>
        </c:ser>
        <c:dLbls>
          <c:showLegendKey val="0"/>
          <c:showVal val="0"/>
          <c:showCatName val="0"/>
          <c:showSerName val="0"/>
          <c:showPercent val="0"/>
          <c:showBubbleSize val="0"/>
        </c:dLbls>
        <c:gapWidth val="219"/>
        <c:overlap val="-27"/>
        <c:axId val="1432589919"/>
        <c:axId val="1432814063"/>
      </c:barChart>
      <c:catAx>
        <c:axId val="1432589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814063"/>
        <c:crosses val="autoZero"/>
        <c:auto val="1"/>
        <c:lblAlgn val="ctr"/>
        <c:lblOffset val="100"/>
        <c:noMultiLvlLbl val="0"/>
      </c:catAx>
      <c:valAx>
        <c:axId val="1432814063"/>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589919"/>
        <c:crosses val="autoZero"/>
        <c:crossBetween val="between"/>
      </c:valAx>
      <c:spPr>
        <a:noFill/>
        <a:ln>
          <a:noFill/>
        </a:ln>
        <a:effectLst/>
      </c:spPr>
    </c:plotArea>
    <c:legend>
      <c:legendPos val="b"/>
      <c:layout>
        <c:manualLayout>
          <c:xMode val="edge"/>
          <c:yMode val="edge"/>
          <c:x val="0.17885565669700912"/>
          <c:y val="0.15618286520155125"/>
          <c:w val="0.30422650139029644"/>
          <c:h val="6.692572470206609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sv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3.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chart" Target="../charts/chart1.xml"/><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chart" Target="../charts/chart2.xml"/><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5.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chart" Target="../charts/chart3.xml"/><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6.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chart" Target="../charts/chart4.xml"/><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dr:twoCellAnchor editAs="oneCell">
    <xdr:from>
      <xdr:col>2</xdr:col>
      <xdr:colOff>284741</xdr:colOff>
      <xdr:row>23</xdr:row>
      <xdr:rowOff>85014</xdr:rowOff>
    </xdr:from>
    <xdr:to>
      <xdr:col>2</xdr:col>
      <xdr:colOff>1415041</xdr:colOff>
      <xdr:row>24</xdr:row>
      <xdr:rowOff>507852</xdr:rowOff>
    </xdr:to>
    <xdr:pic>
      <xdr:nvPicPr>
        <xdr:cNvPr id="3" name="Picture 2" descr="Coronene - Wikipedia">
          <a:extLst>
            <a:ext uri="{FF2B5EF4-FFF2-40B4-BE49-F238E27FC236}">
              <a16:creationId xmlns:a16="http://schemas.microsoft.com/office/drawing/2014/main" id="{B6FEC7B3-DFAD-E045-975A-8066FE45009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20650" y="8697923"/>
          <a:ext cx="1130300" cy="109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91948</xdr:colOff>
      <xdr:row>10</xdr:row>
      <xdr:rowOff>167106</xdr:rowOff>
    </xdr:from>
    <xdr:to>
      <xdr:col>2</xdr:col>
      <xdr:colOff>1626834</xdr:colOff>
      <xdr:row>13</xdr:row>
      <xdr:rowOff>283488</xdr:rowOff>
    </xdr:to>
    <xdr:pic>
      <xdr:nvPicPr>
        <xdr:cNvPr id="5" name="Picture 4" descr="Retene | C18H18 | ChemSpider">
          <a:extLst>
            <a:ext uri="{FF2B5EF4-FFF2-40B4-BE49-F238E27FC236}">
              <a16:creationId xmlns:a16="http://schemas.microsoft.com/office/drawing/2014/main" id="{01E6C837-E376-329B-B928-6FE2B6174A2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226629" y="2463915"/>
          <a:ext cx="1534886" cy="15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217521</xdr:colOff>
      <xdr:row>13</xdr:row>
      <xdr:rowOff>83915</xdr:rowOff>
    </xdr:from>
    <xdr:to>
      <xdr:col>2</xdr:col>
      <xdr:colOff>1450253</xdr:colOff>
      <xdr:row>15</xdr:row>
      <xdr:rowOff>947</xdr:rowOff>
    </xdr:to>
    <xdr:pic>
      <xdr:nvPicPr>
        <xdr:cNvPr id="6" name="Picture 5" descr="Chrysene - Wikipedia">
          <a:extLst>
            <a:ext uri="{FF2B5EF4-FFF2-40B4-BE49-F238E27FC236}">
              <a16:creationId xmlns:a16="http://schemas.microsoft.com/office/drawing/2014/main" id="{380802E6-AE3E-534A-AD3B-AD4DFB4A88FE}"/>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352202" y="3799341"/>
          <a:ext cx="1232732" cy="726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225178</xdr:colOff>
      <xdr:row>15</xdr:row>
      <xdr:rowOff>28102</xdr:rowOff>
    </xdr:from>
    <xdr:to>
      <xdr:col>2</xdr:col>
      <xdr:colOff>1418833</xdr:colOff>
      <xdr:row>16</xdr:row>
      <xdr:rowOff>428292</xdr:rowOff>
    </xdr:to>
    <xdr:pic>
      <xdr:nvPicPr>
        <xdr:cNvPr id="7" name="Picture 6" descr="Pyrene - Wikipedia">
          <a:extLst>
            <a:ext uri="{FF2B5EF4-FFF2-40B4-BE49-F238E27FC236}">
              <a16:creationId xmlns:a16="http://schemas.microsoft.com/office/drawing/2014/main" id="{EFD4312F-7A07-5245-8EEB-1DFD9FA82B61}"/>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t="12865" b="14805"/>
        <a:stretch/>
      </xdr:blipFill>
      <xdr:spPr bwMode="auto">
        <a:xfrm>
          <a:off x="2359859" y="4554166"/>
          <a:ext cx="1193655" cy="8595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134358</xdr:colOff>
      <xdr:row>17</xdr:row>
      <xdr:rowOff>31659</xdr:rowOff>
    </xdr:from>
    <xdr:to>
      <xdr:col>2</xdr:col>
      <xdr:colOff>1629024</xdr:colOff>
      <xdr:row>18</xdr:row>
      <xdr:rowOff>425347</xdr:rowOff>
    </xdr:to>
    <xdr:pic>
      <xdr:nvPicPr>
        <xdr:cNvPr id="8" name="Picture 7" descr="1-Nitropyrene - Wikipedia">
          <a:extLst>
            <a:ext uri="{FF2B5EF4-FFF2-40B4-BE49-F238E27FC236}">
              <a16:creationId xmlns:a16="http://schemas.microsoft.com/office/drawing/2014/main" id="{CEA7123E-CD91-26D0-E990-7F385FAF77F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270267" y="5481114"/>
          <a:ext cx="1494666" cy="843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259387</xdr:colOff>
      <xdr:row>18</xdr:row>
      <xdr:rowOff>415638</xdr:rowOff>
    </xdr:from>
    <xdr:to>
      <xdr:col>2</xdr:col>
      <xdr:colOff>1445274</xdr:colOff>
      <xdr:row>21</xdr:row>
      <xdr:rowOff>87363</xdr:rowOff>
    </xdr:to>
    <xdr:pic>
      <xdr:nvPicPr>
        <xdr:cNvPr id="10" name="Picture 9" descr="Perylene | C20H12 | ChemSpider">
          <a:extLst>
            <a:ext uri="{FF2B5EF4-FFF2-40B4-BE49-F238E27FC236}">
              <a16:creationId xmlns:a16="http://schemas.microsoft.com/office/drawing/2014/main" id="{9193DEA1-232C-A24E-B784-9DB52CE8D1B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95296" y="6315365"/>
          <a:ext cx="1185887" cy="1184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291697</xdr:colOff>
      <xdr:row>21</xdr:row>
      <xdr:rowOff>54111</xdr:rowOff>
    </xdr:from>
    <xdr:ext cx="1036052" cy="1012689"/>
    <xdr:pic>
      <xdr:nvPicPr>
        <xdr:cNvPr id="11" name="Picture 10" descr="Benzo(ghi)perylene - Wikipedia">
          <a:extLst>
            <a:ext uri="{FF2B5EF4-FFF2-40B4-BE49-F238E27FC236}">
              <a16:creationId xmlns:a16="http://schemas.microsoft.com/office/drawing/2014/main" id="{371DE2C2-A111-DE41-B26F-077B1E1666AD}"/>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2427606" y="7466293"/>
          <a:ext cx="1036052" cy="101268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2</xdr:col>
      <xdr:colOff>93384</xdr:colOff>
      <xdr:row>7</xdr:row>
      <xdr:rowOff>175041</xdr:rowOff>
    </xdr:from>
    <xdr:to>
      <xdr:col>2</xdr:col>
      <xdr:colOff>1587386</xdr:colOff>
      <xdr:row>8</xdr:row>
      <xdr:rowOff>328393</xdr:rowOff>
    </xdr:to>
    <xdr:pic>
      <xdr:nvPicPr>
        <xdr:cNvPr id="9" name="Picture 8" descr="Anthracene ReagentPlus�, 99 120-12-7">
          <a:extLst>
            <a:ext uri="{FF2B5EF4-FFF2-40B4-BE49-F238E27FC236}">
              <a16:creationId xmlns:a16="http://schemas.microsoft.com/office/drawing/2014/main" id="{4FE32FAD-D8B4-A559-BBDE-F0517360338D}"/>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228065" y="1188339"/>
          <a:ext cx="1494002" cy="5856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338667</xdr:colOff>
      <xdr:row>9</xdr:row>
      <xdr:rowOff>104790</xdr:rowOff>
    </xdr:from>
    <xdr:to>
      <xdr:col>2</xdr:col>
      <xdr:colOff>1530680</xdr:colOff>
      <xdr:row>10</xdr:row>
      <xdr:rowOff>304799</xdr:rowOff>
    </xdr:to>
    <xdr:pic>
      <xdr:nvPicPr>
        <xdr:cNvPr id="12" name="Picture 11">
          <a:extLst>
            <a:ext uri="{FF2B5EF4-FFF2-40B4-BE49-F238E27FC236}">
              <a16:creationId xmlns:a16="http://schemas.microsoft.com/office/drawing/2014/main" id="{D3A9146E-F11D-2403-E984-EB1C775AFFF5}"/>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2472267" y="2407723"/>
          <a:ext cx="1192013" cy="6233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117728</xdr:colOff>
      <xdr:row>3</xdr:row>
      <xdr:rowOff>221121</xdr:rowOff>
    </xdr:from>
    <xdr:to>
      <xdr:col>2</xdr:col>
      <xdr:colOff>1678581</xdr:colOff>
      <xdr:row>3</xdr:row>
      <xdr:rowOff>1781974</xdr:rowOff>
    </xdr:to>
    <xdr:pic>
      <xdr:nvPicPr>
        <xdr:cNvPr id="2" name="Picture 1">
          <a:extLst>
            <a:ext uri="{FF2B5EF4-FFF2-40B4-BE49-F238E27FC236}">
              <a16:creationId xmlns:a16="http://schemas.microsoft.com/office/drawing/2014/main" id="{54D15FB3-E528-64ED-65A9-BD7092D7C8EB}"/>
            </a:ext>
          </a:extLst>
        </xdr:cNvPr>
        <xdr:cNvPicPr>
          <a:picLocks noChangeAspect="1"/>
        </xdr:cNvPicPr>
      </xdr:nvPicPr>
      <xdr:blipFill>
        <a:blip xmlns:r="http://schemas.openxmlformats.org/officeDocument/2006/relationships" r:embed="rId1"/>
        <a:stretch>
          <a:fillRect/>
        </a:stretch>
      </xdr:blipFill>
      <xdr:spPr>
        <a:xfrm>
          <a:off x="3140328" y="830721"/>
          <a:ext cx="1560853" cy="1560853"/>
        </a:xfrm>
        <a:prstGeom prst="rect">
          <a:avLst/>
        </a:prstGeom>
      </xdr:spPr>
    </xdr:pic>
    <xdr:clientData/>
  </xdr:twoCellAnchor>
  <xdr:twoCellAnchor editAs="oneCell">
    <xdr:from>
      <xdr:col>5</xdr:col>
      <xdr:colOff>169074</xdr:colOff>
      <xdr:row>2</xdr:row>
      <xdr:rowOff>105724</xdr:rowOff>
    </xdr:from>
    <xdr:to>
      <xdr:col>5</xdr:col>
      <xdr:colOff>2501900</xdr:colOff>
      <xdr:row>4</xdr:row>
      <xdr:rowOff>50800</xdr:rowOff>
    </xdr:to>
    <xdr:pic>
      <xdr:nvPicPr>
        <xdr:cNvPr id="3" name="Picture 2">
          <a:extLst>
            <a:ext uri="{FF2B5EF4-FFF2-40B4-BE49-F238E27FC236}">
              <a16:creationId xmlns:a16="http://schemas.microsoft.com/office/drawing/2014/main" id="{14F2E45A-95EF-73CD-1FE2-9DECD914FC54}"/>
            </a:ext>
          </a:extLst>
        </xdr:cNvPr>
        <xdr:cNvPicPr>
          <a:picLocks noChangeAspect="1"/>
        </xdr:cNvPicPr>
      </xdr:nvPicPr>
      <xdr:blipFill>
        <a:blip xmlns:r="http://schemas.openxmlformats.org/officeDocument/2006/relationships" r:embed="rId2"/>
        <a:stretch>
          <a:fillRect/>
        </a:stretch>
      </xdr:blipFill>
      <xdr:spPr>
        <a:xfrm>
          <a:off x="8131974" y="512124"/>
          <a:ext cx="2332826" cy="2332676"/>
        </a:xfrm>
        <a:prstGeom prst="rect">
          <a:avLst/>
        </a:prstGeom>
      </xdr:spPr>
    </xdr:pic>
    <xdr:clientData/>
  </xdr:twoCellAnchor>
  <xdr:twoCellAnchor editAs="oneCell">
    <xdr:from>
      <xdr:col>6</xdr:col>
      <xdr:colOff>78825</xdr:colOff>
      <xdr:row>3</xdr:row>
      <xdr:rowOff>82435</xdr:rowOff>
    </xdr:from>
    <xdr:to>
      <xdr:col>6</xdr:col>
      <xdr:colOff>2190297</xdr:colOff>
      <xdr:row>4</xdr:row>
      <xdr:rowOff>10131</xdr:rowOff>
    </xdr:to>
    <xdr:pic>
      <xdr:nvPicPr>
        <xdr:cNvPr id="4" name="Picture 3">
          <a:extLst>
            <a:ext uri="{FF2B5EF4-FFF2-40B4-BE49-F238E27FC236}">
              <a16:creationId xmlns:a16="http://schemas.microsoft.com/office/drawing/2014/main" id="{467BCE18-B4CE-5801-80C8-B59267649E63}"/>
            </a:ext>
          </a:extLst>
        </xdr:cNvPr>
        <xdr:cNvPicPr>
          <a:picLocks noChangeAspect="1"/>
        </xdr:cNvPicPr>
      </xdr:nvPicPr>
      <xdr:blipFill>
        <a:blip xmlns:r="http://schemas.openxmlformats.org/officeDocument/2006/relationships" r:embed="rId3"/>
        <a:stretch>
          <a:fillRect/>
        </a:stretch>
      </xdr:blipFill>
      <xdr:spPr>
        <a:xfrm>
          <a:off x="10619825" y="692035"/>
          <a:ext cx="2111472" cy="2112096"/>
        </a:xfrm>
        <a:prstGeom prst="rect">
          <a:avLst/>
        </a:prstGeom>
      </xdr:spPr>
    </xdr:pic>
    <xdr:clientData/>
  </xdr:twoCellAnchor>
  <xdr:twoCellAnchor editAs="oneCell">
    <xdr:from>
      <xdr:col>9</xdr:col>
      <xdr:colOff>68954</xdr:colOff>
      <xdr:row>3</xdr:row>
      <xdr:rowOff>14101</xdr:rowOff>
    </xdr:from>
    <xdr:to>
      <xdr:col>9</xdr:col>
      <xdr:colOff>2344047</xdr:colOff>
      <xdr:row>4</xdr:row>
      <xdr:rowOff>108222</xdr:rowOff>
    </xdr:to>
    <xdr:pic>
      <xdr:nvPicPr>
        <xdr:cNvPr id="5" name="Picture 4">
          <a:extLst>
            <a:ext uri="{FF2B5EF4-FFF2-40B4-BE49-F238E27FC236}">
              <a16:creationId xmlns:a16="http://schemas.microsoft.com/office/drawing/2014/main" id="{1D742EC8-DC2A-1826-8B76-827F21165FC3}"/>
            </a:ext>
          </a:extLst>
        </xdr:cNvPr>
        <xdr:cNvPicPr>
          <a:picLocks noChangeAspect="1"/>
        </xdr:cNvPicPr>
      </xdr:nvPicPr>
      <xdr:blipFill>
        <a:blip xmlns:r="http://schemas.openxmlformats.org/officeDocument/2006/relationships" r:embed="rId4"/>
        <a:stretch>
          <a:fillRect/>
        </a:stretch>
      </xdr:blipFill>
      <xdr:spPr>
        <a:xfrm>
          <a:off x="16848348" y="649101"/>
          <a:ext cx="2275093" cy="2287757"/>
        </a:xfrm>
        <a:prstGeom prst="rect">
          <a:avLst/>
        </a:prstGeom>
      </xdr:spPr>
    </xdr:pic>
    <xdr:clientData/>
  </xdr:twoCellAnchor>
  <xdr:twoCellAnchor editAs="oneCell">
    <xdr:from>
      <xdr:col>7</xdr:col>
      <xdr:colOff>766649</xdr:colOff>
      <xdr:row>2</xdr:row>
      <xdr:rowOff>113311</xdr:rowOff>
    </xdr:from>
    <xdr:to>
      <xdr:col>8</xdr:col>
      <xdr:colOff>1001897</xdr:colOff>
      <xdr:row>4</xdr:row>
      <xdr:rowOff>121102</xdr:rowOff>
    </xdr:to>
    <xdr:pic>
      <xdr:nvPicPr>
        <xdr:cNvPr id="6" name="Picture 5">
          <a:extLst>
            <a:ext uri="{FF2B5EF4-FFF2-40B4-BE49-F238E27FC236}">
              <a16:creationId xmlns:a16="http://schemas.microsoft.com/office/drawing/2014/main" id="{FD94A436-B381-4505-B619-F779C31625B1}"/>
            </a:ext>
          </a:extLst>
        </xdr:cNvPr>
        <xdr:cNvPicPr>
          <a:picLocks noChangeAspect="1"/>
        </xdr:cNvPicPr>
      </xdr:nvPicPr>
      <xdr:blipFill>
        <a:blip xmlns:r="http://schemas.openxmlformats.org/officeDocument/2006/relationships" r:embed="rId5"/>
        <a:stretch>
          <a:fillRect/>
        </a:stretch>
      </xdr:blipFill>
      <xdr:spPr>
        <a:xfrm>
          <a:off x="13568249" y="519711"/>
          <a:ext cx="2394248" cy="2395391"/>
        </a:xfrm>
        <a:prstGeom prst="rect">
          <a:avLst/>
        </a:prstGeom>
      </xdr:spPr>
    </xdr:pic>
    <xdr:clientData/>
  </xdr:twoCellAnchor>
  <xdr:twoCellAnchor editAs="oneCell">
    <xdr:from>
      <xdr:col>10</xdr:col>
      <xdr:colOff>145701</xdr:colOff>
      <xdr:row>3</xdr:row>
      <xdr:rowOff>67240</xdr:rowOff>
    </xdr:from>
    <xdr:to>
      <xdr:col>10</xdr:col>
      <xdr:colOff>2261068</xdr:colOff>
      <xdr:row>4</xdr:row>
      <xdr:rowOff>2756</xdr:rowOff>
    </xdr:to>
    <xdr:pic>
      <xdr:nvPicPr>
        <xdr:cNvPr id="7" name="Picture 6">
          <a:extLst>
            <a:ext uri="{FF2B5EF4-FFF2-40B4-BE49-F238E27FC236}">
              <a16:creationId xmlns:a16="http://schemas.microsoft.com/office/drawing/2014/main" id="{875DFF32-3913-D426-2E8E-37E4A0C3CD32}"/>
            </a:ext>
          </a:extLst>
        </xdr:cNvPr>
        <xdr:cNvPicPr>
          <a:picLocks noChangeAspect="1"/>
        </xdr:cNvPicPr>
      </xdr:nvPicPr>
      <xdr:blipFill>
        <a:blip xmlns:r="http://schemas.openxmlformats.org/officeDocument/2006/relationships" r:embed="rId6"/>
        <a:stretch>
          <a:fillRect/>
        </a:stretch>
      </xdr:blipFill>
      <xdr:spPr>
        <a:xfrm>
          <a:off x="19373501" y="676840"/>
          <a:ext cx="2115367" cy="2115367"/>
        </a:xfrm>
        <a:prstGeom prst="rect">
          <a:avLst/>
        </a:prstGeom>
      </xdr:spPr>
    </xdr:pic>
    <xdr:clientData/>
  </xdr:twoCellAnchor>
  <xdr:twoCellAnchor editAs="oneCell">
    <xdr:from>
      <xdr:col>11</xdr:col>
      <xdr:colOff>92640</xdr:colOff>
      <xdr:row>2</xdr:row>
      <xdr:rowOff>183098</xdr:rowOff>
    </xdr:from>
    <xdr:to>
      <xdr:col>11</xdr:col>
      <xdr:colOff>2285922</xdr:colOff>
      <xdr:row>3</xdr:row>
      <xdr:rowOff>2173804</xdr:rowOff>
    </xdr:to>
    <xdr:pic>
      <xdr:nvPicPr>
        <xdr:cNvPr id="8" name="Picture 7">
          <a:extLst>
            <a:ext uri="{FF2B5EF4-FFF2-40B4-BE49-F238E27FC236}">
              <a16:creationId xmlns:a16="http://schemas.microsoft.com/office/drawing/2014/main" id="{3697F03F-7E95-F6EB-51C2-58989BADE6F5}"/>
            </a:ext>
          </a:extLst>
        </xdr:cNvPr>
        <xdr:cNvPicPr>
          <a:picLocks noChangeAspect="1"/>
        </xdr:cNvPicPr>
      </xdr:nvPicPr>
      <xdr:blipFill>
        <a:blip xmlns:r="http://schemas.openxmlformats.org/officeDocument/2006/relationships" r:embed="rId7"/>
        <a:stretch>
          <a:fillRect/>
        </a:stretch>
      </xdr:blipFill>
      <xdr:spPr>
        <a:xfrm>
          <a:off x="21746140" y="589498"/>
          <a:ext cx="2193282" cy="2193906"/>
        </a:xfrm>
        <a:prstGeom prst="rect">
          <a:avLst/>
        </a:prstGeom>
      </xdr:spPr>
    </xdr:pic>
    <xdr:clientData/>
  </xdr:twoCellAnchor>
  <xdr:twoCellAnchor editAs="oneCell">
    <xdr:from>
      <xdr:col>3</xdr:col>
      <xdr:colOff>634772</xdr:colOff>
      <xdr:row>3</xdr:row>
      <xdr:rowOff>48288</xdr:rowOff>
    </xdr:from>
    <xdr:to>
      <xdr:col>4</xdr:col>
      <xdr:colOff>1265767</xdr:colOff>
      <xdr:row>3</xdr:row>
      <xdr:rowOff>2161732</xdr:rowOff>
    </xdr:to>
    <xdr:pic>
      <xdr:nvPicPr>
        <xdr:cNvPr id="9" name="Picture 8">
          <a:extLst>
            <a:ext uri="{FF2B5EF4-FFF2-40B4-BE49-F238E27FC236}">
              <a16:creationId xmlns:a16="http://schemas.microsoft.com/office/drawing/2014/main" id="{B012E83B-D627-5E32-1F6A-A13499F74230}"/>
            </a:ext>
          </a:extLst>
        </xdr:cNvPr>
        <xdr:cNvPicPr>
          <a:picLocks noChangeAspect="1"/>
        </xdr:cNvPicPr>
      </xdr:nvPicPr>
      <xdr:blipFill>
        <a:blip xmlns:r="http://schemas.openxmlformats.org/officeDocument/2006/relationships" r:embed="rId8"/>
        <a:stretch>
          <a:fillRect/>
        </a:stretch>
      </xdr:blipFill>
      <xdr:spPr>
        <a:xfrm>
          <a:off x="5473472" y="657888"/>
          <a:ext cx="2116895" cy="2113444"/>
        </a:xfrm>
        <a:prstGeom prst="rect">
          <a:avLst/>
        </a:prstGeom>
      </xdr:spPr>
    </xdr:pic>
    <xdr:clientData/>
  </xdr:twoCellAnchor>
  <xdr:twoCellAnchor editAs="oneCell">
    <xdr:from>
      <xdr:col>12</xdr:col>
      <xdr:colOff>156634</xdr:colOff>
      <xdr:row>3</xdr:row>
      <xdr:rowOff>76199</xdr:rowOff>
    </xdr:from>
    <xdr:to>
      <xdr:col>12</xdr:col>
      <xdr:colOff>2273301</xdr:colOff>
      <xdr:row>4</xdr:row>
      <xdr:rowOff>8466</xdr:rowOff>
    </xdr:to>
    <xdr:pic>
      <xdr:nvPicPr>
        <xdr:cNvPr id="10" name="Picture 9">
          <a:extLst>
            <a:ext uri="{FF2B5EF4-FFF2-40B4-BE49-F238E27FC236}">
              <a16:creationId xmlns:a16="http://schemas.microsoft.com/office/drawing/2014/main" id="{99F52D9F-660C-B206-1115-29D3D3BB580E}"/>
            </a:ext>
          </a:extLst>
        </xdr:cNvPr>
        <xdr:cNvPicPr>
          <a:picLocks noChangeAspect="1"/>
        </xdr:cNvPicPr>
      </xdr:nvPicPr>
      <xdr:blipFill>
        <a:blip xmlns:r="http://schemas.openxmlformats.org/officeDocument/2006/relationships" r:embed="rId9"/>
        <a:stretch>
          <a:fillRect/>
        </a:stretch>
      </xdr:blipFill>
      <xdr:spPr>
        <a:xfrm>
          <a:off x="24235834" y="685799"/>
          <a:ext cx="2116667" cy="2116667"/>
        </a:xfrm>
        <a:prstGeom prst="rect">
          <a:avLst/>
        </a:prstGeom>
      </xdr:spPr>
    </xdr:pic>
    <xdr:clientData/>
  </xdr:twoCellAnchor>
  <xdr:twoCellAnchor editAs="oneCell">
    <xdr:from>
      <xdr:col>1</xdr:col>
      <xdr:colOff>538790</xdr:colOff>
      <xdr:row>12</xdr:row>
      <xdr:rowOff>17523</xdr:rowOff>
    </xdr:from>
    <xdr:to>
      <xdr:col>6</xdr:col>
      <xdr:colOff>1570146</xdr:colOff>
      <xdr:row>23</xdr:row>
      <xdr:rowOff>133038</xdr:rowOff>
    </xdr:to>
    <xdr:pic>
      <xdr:nvPicPr>
        <xdr:cNvPr id="11" name="Graphic 1">
          <a:extLst>
            <a:ext uri="{FF2B5EF4-FFF2-40B4-BE49-F238E27FC236}">
              <a16:creationId xmlns:a16="http://schemas.microsoft.com/office/drawing/2014/main" id="{DEFF1298-623C-B131-B76F-B3B7C74F1669}"/>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rcRect t="11564" b="50091"/>
        <a:stretch/>
      </xdr:blipFill>
      <xdr:spPr bwMode="auto">
        <a:xfrm>
          <a:off x="1366214" y="5674796"/>
          <a:ext cx="10871968" cy="2443849"/>
        </a:xfrm>
        <a:prstGeom prst="rect">
          <a:avLst/>
        </a:prstGeom>
        <a:ln>
          <a:noFill/>
        </a:ln>
        <a:extLst>
          <a:ext uri="{53640926-AAD7-44D8-BBD7-CCE9431645EC}">
            <a14:shadowObscured xmlns:a14="http://schemas.microsoft.com/office/drawing/2010/main"/>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781766</xdr:colOff>
      <xdr:row>5</xdr:row>
      <xdr:rowOff>15851</xdr:rowOff>
    </xdr:from>
    <xdr:to>
      <xdr:col>2</xdr:col>
      <xdr:colOff>1525831</xdr:colOff>
      <xdr:row>6</xdr:row>
      <xdr:rowOff>1370</xdr:rowOff>
    </xdr:to>
    <xdr:pic>
      <xdr:nvPicPr>
        <xdr:cNvPr id="2" name="Picture 1">
          <a:extLst>
            <a:ext uri="{FF2B5EF4-FFF2-40B4-BE49-F238E27FC236}">
              <a16:creationId xmlns:a16="http://schemas.microsoft.com/office/drawing/2014/main" id="{48BD4E28-6991-6144-82E3-3BAB6EAAC40F}"/>
            </a:ext>
          </a:extLst>
        </xdr:cNvPr>
        <xdr:cNvPicPr>
          <a:picLocks noChangeAspect="1"/>
        </xdr:cNvPicPr>
      </xdr:nvPicPr>
      <xdr:blipFill rotWithShape="1">
        <a:blip xmlns:r="http://schemas.openxmlformats.org/officeDocument/2006/relationships" r:embed="rId1"/>
        <a:srcRect l="51079" t="18605" r="20177" b="18270"/>
        <a:stretch/>
      </xdr:blipFill>
      <xdr:spPr>
        <a:xfrm>
          <a:off x="2737566" y="1374751"/>
          <a:ext cx="744065" cy="823719"/>
        </a:xfrm>
        <a:prstGeom prst="rect">
          <a:avLst/>
        </a:prstGeom>
      </xdr:spPr>
    </xdr:pic>
    <xdr:clientData/>
  </xdr:twoCellAnchor>
  <xdr:twoCellAnchor editAs="oneCell">
    <xdr:from>
      <xdr:col>2</xdr:col>
      <xdr:colOff>590780</xdr:colOff>
      <xdr:row>6</xdr:row>
      <xdr:rowOff>101320</xdr:rowOff>
    </xdr:from>
    <xdr:to>
      <xdr:col>2</xdr:col>
      <xdr:colOff>1901985</xdr:colOff>
      <xdr:row>6</xdr:row>
      <xdr:rowOff>871692</xdr:rowOff>
    </xdr:to>
    <xdr:pic>
      <xdr:nvPicPr>
        <xdr:cNvPr id="3" name="Picture 2">
          <a:extLst>
            <a:ext uri="{FF2B5EF4-FFF2-40B4-BE49-F238E27FC236}">
              <a16:creationId xmlns:a16="http://schemas.microsoft.com/office/drawing/2014/main" id="{38149435-DB07-B540-B528-A85020B205C6}"/>
            </a:ext>
          </a:extLst>
        </xdr:cNvPr>
        <xdr:cNvPicPr>
          <a:picLocks noChangeAspect="1"/>
        </xdr:cNvPicPr>
      </xdr:nvPicPr>
      <xdr:blipFill rotWithShape="1">
        <a:blip xmlns:r="http://schemas.openxmlformats.org/officeDocument/2006/relationships" r:embed="rId2"/>
        <a:srcRect l="24334" t="17786" r="24183" b="20611"/>
        <a:stretch/>
      </xdr:blipFill>
      <xdr:spPr>
        <a:xfrm>
          <a:off x="2546580" y="2298420"/>
          <a:ext cx="1311205" cy="770372"/>
        </a:xfrm>
        <a:prstGeom prst="rect">
          <a:avLst/>
        </a:prstGeom>
      </xdr:spPr>
    </xdr:pic>
    <xdr:clientData/>
  </xdr:twoCellAnchor>
  <xdr:twoCellAnchor editAs="oneCell">
    <xdr:from>
      <xdr:col>2</xdr:col>
      <xdr:colOff>657112</xdr:colOff>
      <xdr:row>7</xdr:row>
      <xdr:rowOff>35384</xdr:rowOff>
    </xdr:from>
    <xdr:to>
      <xdr:col>2</xdr:col>
      <xdr:colOff>1831014</xdr:colOff>
      <xdr:row>7</xdr:row>
      <xdr:rowOff>1243831</xdr:rowOff>
    </xdr:to>
    <xdr:pic>
      <xdr:nvPicPr>
        <xdr:cNvPr id="4" name="Picture 3">
          <a:extLst>
            <a:ext uri="{FF2B5EF4-FFF2-40B4-BE49-F238E27FC236}">
              <a16:creationId xmlns:a16="http://schemas.microsoft.com/office/drawing/2014/main" id="{A7311F25-27AC-FD4C-B7CD-21189612A874}"/>
            </a:ext>
          </a:extLst>
        </xdr:cNvPr>
        <xdr:cNvPicPr>
          <a:picLocks noChangeAspect="1"/>
        </xdr:cNvPicPr>
      </xdr:nvPicPr>
      <xdr:blipFill rotWithShape="1">
        <a:blip xmlns:r="http://schemas.openxmlformats.org/officeDocument/2006/relationships" r:embed="rId3"/>
        <a:srcRect l="31216" t="3970" r="28300" b="11664"/>
        <a:stretch/>
      </xdr:blipFill>
      <xdr:spPr>
        <a:xfrm>
          <a:off x="2612912" y="3273884"/>
          <a:ext cx="1173902" cy="1208447"/>
        </a:xfrm>
        <a:prstGeom prst="rect">
          <a:avLst/>
        </a:prstGeom>
      </xdr:spPr>
    </xdr:pic>
    <xdr:clientData/>
  </xdr:twoCellAnchor>
  <xdr:twoCellAnchor editAs="oneCell">
    <xdr:from>
      <xdr:col>2</xdr:col>
      <xdr:colOff>542998</xdr:colOff>
      <xdr:row>8</xdr:row>
      <xdr:rowOff>36027</xdr:rowOff>
    </xdr:from>
    <xdr:to>
      <xdr:col>2</xdr:col>
      <xdr:colOff>1965808</xdr:colOff>
      <xdr:row>8</xdr:row>
      <xdr:rowOff>945744</xdr:rowOff>
    </xdr:to>
    <xdr:pic>
      <xdr:nvPicPr>
        <xdr:cNvPr id="5" name="Picture 4">
          <a:extLst>
            <a:ext uri="{FF2B5EF4-FFF2-40B4-BE49-F238E27FC236}">
              <a16:creationId xmlns:a16="http://schemas.microsoft.com/office/drawing/2014/main" id="{C4E2C533-BADD-8340-9E67-160246B6B61A}"/>
            </a:ext>
          </a:extLst>
        </xdr:cNvPr>
        <xdr:cNvPicPr>
          <a:picLocks noChangeAspect="1"/>
        </xdr:cNvPicPr>
      </xdr:nvPicPr>
      <xdr:blipFill rotWithShape="1">
        <a:blip xmlns:r="http://schemas.openxmlformats.org/officeDocument/2006/relationships" r:embed="rId4"/>
        <a:srcRect l="24799" t="12969" r="22820" b="18880"/>
        <a:stretch/>
      </xdr:blipFill>
      <xdr:spPr>
        <a:xfrm>
          <a:off x="2498798" y="4544527"/>
          <a:ext cx="1422810" cy="909717"/>
        </a:xfrm>
        <a:prstGeom prst="rect">
          <a:avLst/>
        </a:prstGeom>
      </xdr:spPr>
    </xdr:pic>
    <xdr:clientData/>
  </xdr:twoCellAnchor>
  <xdr:twoCellAnchor editAs="oneCell">
    <xdr:from>
      <xdr:col>2</xdr:col>
      <xdr:colOff>478868</xdr:colOff>
      <xdr:row>9</xdr:row>
      <xdr:rowOff>16929</xdr:rowOff>
    </xdr:from>
    <xdr:to>
      <xdr:col>2</xdr:col>
      <xdr:colOff>2038824</xdr:colOff>
      <xdr:row>9</xdr:row>
      <xdr:rowOff>962674</xdr:rowOff>
    </xdr:to>
    <xdr:pic>
      <xdr:nvPicPr>
        <xdr:cNvPr id="6" name="Picture 5">
          <a:extLst>
            <a:ext uri="{FF2B5EF4-FFF2-40B4-BE49-F238E27FC236}">
              <a16:creationId xmlns:a16="http://schemas.microsoft.com/office/drawing/2014/main" id="{FE0C7281-58D5-394D-BBE2-DC1CD90DBE5E}"/>
            </a:ext>
          </a:extLst>
        </xdr:cNvPr>
        <xdr:cNvPicPr>
          <a:picLocks noChangeAspect="1"/>
        </xdr:cNvPicPr>
      </xdr:nvPicPr>
      <xdr:blipFill rotWithShape="1">
        <a:blip xmlns:r="http://schemas.openxmlformats.org/officeDocument/2006/relationships" r:embed="rId5"/>
        <a:srcRect l="24452" t="16979" r="23747" b="19115"/>
        <a:stretch/>
      </xdr:blipFill>
      <xdr:spPr>
        <a:xfrm>
          <a:off x="2434668" y="5528729"/>
          <a:ext cx="1559956" cy="945745"/>
        </a:xfrm>
        <a:prstGeom prst="rect">
          <a:avLst/>
        </a:prstGeom>
      </xdr:spPr>
    </xdr:pic>
    <xdr:clientData/>
  </xdr:twoCellAnchor>
  <xdr:twoCellAnchor editAs="oneCell">
    <xdr:from>
      <xdr:col>2</xdr:col>
      <xdr:colOff>476157</xdr:colOff>
      <xdr:row>12</xdr:row>
      <xdr:rowOff>21144</xdr:rowOff>
    </xdr:from>
    <xdr:to>
      <xdr:col>2</xdr:col>
      <xdr:colOff>1935306</xdr:colOff>
      <xdr:row>13</xdr:row>
      <xdr:rowOff>4076</xdr:rowOff>
    </xdr:to>
    <xdr:pic>
      <xdr:nvPicPr>
        <xdr:cNvPr id="7" name="Picture 6">
          <a:extLst>
            <a:ext uri="{FF2B5EF4-FFF2-40B4-BE49-F238E27FC236}">
              <a16:creationId xmlns:a16="http://schemas.microsoft.com/office/drawing/2014/main" id="{E7E03B63-1625-7B41-8118-D6639E42FF69}"/>
            </a:ext>
          </a:extLst>
        </xdr:cNvPr>
        <xdr:cNvPicPr>
          <a:picLocks noChangeAspect="1"/>
        </xdr:cNvPicPr>
      </xdr:nvPicPr>
      <xdr:blipFill rotWithShape="1">
        <a:blip xmlns:r="http://schemas.openxmlformats.org/officeDocument/2006/relationships" r:embed="rId6"/>
        <a:srcRect l="14370" t="8254" r="27572"/>
        <a:stretch/>
      </xdr:blipFill>
      <xdr:spPr>
        <a:xfrm>
          <a:off x="2431957" y="8695244"/>
          <a:ext cx="1459149" cy="1138632"/>
        </a:xfrm>
        <a:prstGeom prst="rect">
          <a:avLst/>
        </a:prstGeom>
      </xdr:spPr>
    </xdr:pic>
    <xdr:clientData/>
  </xdr:twoCellAnchor>
  <xdr:twoCellAnchor editAs="oneCell">
    <xdr:from>
      <xdr:col>2</xdr:col>
      <xdr:colOff>368255</xdr:colOff>
      <xdr:row>13</xdr:row>
      <xdr:rowOff>27095</xdr:rowOff>
    </xdr:from>
    <xdr:to>
      <xdr:col>2</xdr:col>
      <xdr:colOff>1914341</xdr:colOff>
      <xdr:row>14</xdr:row>
      <xdr:rowOff>1426</xdr:rowOff>
    </xdr:to>
    <xdr:pic>
      <xdr:nvPicPr>
        <xdr:cNvPr id="8" name="Picture 7">
          <a:extLst>
            <a:ext uri="{FF2B5EF4-FFF2-40B4-BE49-F238E27FC236}">
              <a16:creationId xmlns:a16="http://schemas.microsoft.com/office/drawing/2014/main" id="{BF95B57D-F69C-8849-8551-7E0CFDB52F3D}"/>
            </a:ext>
          </a:extLst>
        </xdr:cNvPr>
        <xdr:cNvPicPr>
          <a:picLocks noChangeAspect="1"/>
        </xdr:cNvPicPr>
      </xdr:nvPicPr>
      <xdr:blipFill rotWithShape="1">
        <a:blip xmlns:r="http://schemas.openxmlformats.org/officeDocument/2006/relationships" r:embed="rId7"/>
        <a:srcRect l="23977" t="10733" r="22775" b="10826"/>
        <a:stretch/>
      </xdr:blipFill>
      <xdr:spPr>
        <a:xfrm>
          <a:off x="2324055" y="9856895"/>
          <a:ext cx="1546086" cy="1130031"/>
        </a:xfrm>
        <a:prstGeom prst="rect">
          <a:avLst/>
        </a:prstGeom>
      </xdr:spPr>
    </xdr:pic>
    <xdr:clientData/>
  </xdr:twoCellAnchor>
  <xdr:twoCellAnchor editAs="oneCell">
    <xdr:from>
      <xdr:col>2</xdr:col>
      <xdr:colOff>432109</xdr:colOff>
      <xdr:row>14</xdr:row>
      <xdr:rowOff>42680</xdr:rowOff>
    </xdr:from>
    <xdr:to>
      <xdr:col>2</xdr:col>
      <xdr:colOff>1972091</xdr:colOff>
      <xdr:row>14</xdr:row>
      <xdr:rowOff>859897</xdr:rowOff>
    </xdr:to>
    <xdr:pic>
      <xdr:nvPicPr>
        <xdr:cNvPr id="9" name="Picture 8">
          <a:extLst>
            <a:ext uri="{FF2B5EF4-FFF2-40B4-BE49-F238E27FC236}">
              <a16:creationId xmlns:a16="http://schemas.microsoft.com/office/drawing/2014/main" id="{512637BF-4F89-E943-9FEC-BD8EE78E152A}"/>
            </a:ext>
          </a:extLst>
        </xdr:cNvPr>
        <xdr:cNvPicPr>
          <a:picLocks noChangeAspect="1"/>
        </xdr:cNvPicPr>
      </xdr:nvPicPr>
      <xdr:blipFill rotWithShape="1">
        <a:blip xmlns:r="http://schemas.openxmlformats.org/officeDocument/2006/relationships" r:embed="rId8"/>
        <a:srcRect l="22876" t="23709" r="23842" b="18753"/>
        <a:stretch/>
      </xdr:blipFill>
      <xdr:spPr>
        <a:xfrm>
          <a:off x="2387909" y="11028180"/>
          <a:ext cx="1539982" cy="817217"/>
        </a:xfrm>
        <a:prstGeom prst="rect">
          <a:avLst/>
        </a:prstGeom>
      </xdr:spPr>
    </xdr:pic>
    <xdr:clientData/>
  </xdr:twoCellAnchor>
  <xdr:twoCellAnchor editAs="oneCell">
    <xdr:from>
      <xdr:col>2</xdr:col>
      <xdr:colOff>324082</xdr:colOff>
      <xdr:row>15</xdr:row>
      <xdr:rowOff>108938</xdr:rowOff>
    </xdr:from>
    <xdr:to>
      <xdr:col>2</xdr:col>
      <xdr:colOff>2000328</xdr:colOff>
      <xdr:row>15</xdr:row>
      <xdr:rowOff>1235375</xdr:rowOff>
    </xdr:to>
    <xdr:pic>
      <xdr:nvPicPr>
        <xdr:cNvPr id="10" name="Picture 9">
          <a:extLst>
            <a:ext uri="{FF2B5EF4-FFF2-40B4-BE49-F238E27FC236}">
              <a16:creationId xmlns:a16="http://schemas.microsoft.com/office/drawing/2014/main" id="{AD286E8A-B8FE-BE40-BEAD-FFA06F9CF9DC}"/>
            </a:ext>
          </a:extLst>
        </xdr:cNvPr>
        <xdr:cNvPicPr>
          <a:picLocks noChangeAspect="1"/>
        </xdr:cNvPicPr>
      </xdr:nvPicPr>
      <xdr:blipFill rotWithShape="1">
        <a:blip xmlns:r="http://schemas.openxmlformats.org/officeDocument/2006/relationships" r:embed="rId9"/>
        <a:srcRect l="22876" t="19083" r="23842" b="8056"/>
        <a:stretch/>
      </xdr:blipFill>
      <xdr:spPr>
        <a:xfrm>
          <a:off x="2279882" y="11970738"/>
          <a:ext cx="1676246" cy="1126437"/>
        </a:xfrm>
        <a:prstGeom prst="rect">
          <a:avLst/>
        </a:prstGeom>
      </xdr:spPr>
    </xdr:pic>
    <xdr:clientData/>
  </xdr:twoCellAnchor>
  <xdr:twoCellAnchor editAs="oneCell">
    <xdr:from>
      <xdr:col>2</xdr:col>
      <xdr:colOff>372404</xdr:colOff>
      <xdr:row>16</xdr:row>
      <xdr:rowOff>9548</xdr:rowOff>
    </xdr:from>
    <xdr:to>
      <xdr:col>2</xdr:col>
      <xdr:colOff>1904999</xdr:colOff>
      <xdr:row>16</xdr:row>
      <xdr:rowOff>840300</xdr:rowOff>
    </xdr:to>
    <xdr:pic>
      <xdr:nvPicPr>
        <xdr:cNvPr id="11" name="Picture 10">
          <a:extLst>
            <a:ext uri="{FF2B5EF4-FFF2-40B4-BE49-F238E27FC236}">
              <a16:creationId xmlns:a16="http://schemas.microsoft.com/office/drawing/2014/main" id="{570A4A37-5DAF-BD46-9FEF-C694EEC8DCF2}"/>
            </a:ext>
          </a:extLst>
        </xdr:cNvPr>
        <xdr:cNvPicPr>
          <a:picLocks noChangeAspect="1"/>
        </xdr:cNvPicPr>
      </xdr:nvPicPr>
      <xdr:blipFill rotWithShape="1">
        <a:blip xmlns:r="http://schemas.openxmlformats.org/officeDocument/2006/relationships" r:embed="rId10"/>
        <a:srcRect l="23588" t="21500" r="23829" b="20500"/>
        <a:stretch/>
      </xdr:blipFill>
      <xdr:spPr>
        <a:xfrm>
          <a:off x="2328204" y="13166748"/>
          <a:ext cx="1532595" cy="830752"/>
        </a:xfrm>
        <a:prstGeom prst="rect">
          <a:avLst/>
        </a:prstGeom>
      </xdr:spPr>
    </xdr:pic>
    <xdr:clientData/>
  </xdr:twoCellAnchor>
  <xdr:twoCellAnchor editAs="oneCell">
    <xdr:from>
      <xdr:col>2</xdr:col>
      <xdr:colOff>448797</xdr:colOff>
      <xdr:row>17</xdr:row>
      <xdr:rowOff>40558</xdr:rowOff>
    </xdr:from>
    <xdr:to>
      <xdr:col>2</xdr:col>
      <xdr:colOff>1928872</xdr:colOff>
      <xdr:row>17</xdr:row>
      <xdr:rowOff>1470526</xdr:rowOff>
    </xdr:to>
    <xdr:pic>
      <xdr:nvPicPr>
        <xdr:cNvPr id="12" name="Picture 11">
          <a:extLst>
            <a:ext uri="{FF2B5EF4-FFF2-40B4-BE49-F238E27FC236}">
              <a16:creationId xmlns:a16="http://schemas.microsoft.com/office/drawing/2014/main" id="{C68ED4C3-D629-F74F-A027-852AE4832C46}"/>
            </a:ext>
          </a:extLst>
        </xdr:cNvPr>
        <xdr:cNvPicPr>
          <a:picLocks noChangeAspect="1"/>
        </xdr:cNvPicPr>
      </xdr:nvPicPr>
      <xdr:blipFill rotWithShape="1">
        <a:blip xmlns:r="http://schemas.openxmlformats.org/officeDocument/2006/relationships" r:embed="rId11"/>
        <a:srcRect l="26414" t="3999" r="26409" b="3250"/>
        <a:stretch/>
      </xdr:blipFill>
      <xdr:spPr>
        <a:xfrm>
          <a:off x="2404597" y="14099458"/>
          <a:ext cx="1480075" cy="1429968"/>
        </a:xfrm>
        <a:prstGeom prst="rect">
          <a:avLst/>
        </a:prstGeom>
      </xdr:spPr>
    </xdr:pic>
    <xdr:clientData/>
  </xdr:twoCellAnchor>
  <xdr:twoCellAnchor editAs="oneCell">
    <xdr:from>
      <xdr:col>2</xdr:col>
      <xdr:colOff>563383</xdr:colOff>
      <xdr:row>18</xdr:row>
      <xdr:rowOff>63977</xdr:rowOff>
    </xdr:from>
    <xdr:to>
      <xdr:col>2</xdr:col>
      <xdr:colOff>1986166</xdr:colOff>
      <xdr:row>18</xdr:row>
      <xdr:rowOff>1165120</xdr:rowOff>
    </xdr:to>
    <xdr:pic>
      <xdr:nvPicPr>
        <xdr:cNvPr id="13" name="Picture 12">
          <a:extLst>
            <a:ext uri="{FF2B5EF4-FFF2-40B4-BE49-F238E27FC236}">
              <a16:creationId xmlns:a16="http://schemas.microsoft.com/office/drawing/2014/main" id="{8F38D00E-DACB-3B41-9A2D-5ADDA87A4BA9}"/>
            </a:ext>
          </a:extLst>
        </xdr:cNvPr>
        <xdr:cNvPicPr>
          <a:picLocks noChangeAspect="1"/>
        </xdr:cNvPicPr>
      </xdr:nvPicPr>
      <xdr:blipFill rotWithShape="1">
        <a:blip xmlns:r="http://schemas.openxmlformats.org/officeDocument/2006/relationships" r:embed="rId12"/>
        <a:srcRect l="27151" t="14250" r="26655" b="13000"/>
        <a:stretch/>
      </xdr:blipFill>
      <xdr:spPr>
        <a:xfrm>
          <a:off x="2519183" y="15608777"/>
          <a:ext cx="1422783" cy="1101143"/>
        </a:xfrm>
        <a:prstGeom prst="rect">
          <a:avLst/>
        </a:prstGeom>
      </xdr:spPr>
    </xdr:pic>
    <xdr:clientData/>
  </xdr:twoCellAnchor>
  <xdr:twoCellAnchor editAs="oneCell">
    <xdr:from>
      <xdr:col>2</xdr:col>
      <xdr:colOff>334210</xdr:colOff>
      <xdr:row>19</xdr:row>
      <xdr:rowOff>9548</xdr:rowOff>
    </xdr:from>
    <xdr:to>
      <xdr:col>2</xdr:col>
      <xdr:colOff>2140563</xdr:colOff>
      <xdr:row>19</xdr:row>
      <xdr:rowOff>1164963</xdr:rowOff>
    </xdr:to>
    <xdr:pic>
      <xdr:nvPicPr>
        <xdr:cNvPr id="14" name="Picture 13">
          <a:extLst>
            <a:ext uri="{FF2B5EF4-FFF2-40B4-BE49-F238E27FC236}">
              <a16:creationId xmlns:a16="http://schemas.microsoft.com/office/drawing/2014/main" id="{E10EA90E-E33E-1145-9D17-F9E5E3CDB2C7}"/>
            </a:ext>
          </a:extLst>
        </xdr:cNvPr>
        <xdr:cNvPicPr>
          <a:picLocks noChangeAspect="1"/>
        </xdr:cNvPicPr>
      </xdr:nvPicPr>
      <xdr:blipFill rotWithShape="1">
        <a:blip xmlns:r="http://schemas.openxmlformats.org/officeDocument/2006/relationships" r:embed="rId13"/>
        <a:srcRect l="21622" t="15500" r="23829" b="13499"/>
        <a:stretch/>
      </xdr:blipFill>
      <xdr:spPr>
        <a:xfrm>
          <a:off x="2290010" y="16735448"/>
          <a:ext cx="1806353" cy="1155415"/>
        </a:xfrm>
        <a:prstGeom prst="rect">
          <a:avLst/>
        </a:prstGeom>
      </xdr:spPr>
    </xdr:pic>
    <xdr:clientData/>
  </xdr:twoCellAnchor>
  <xdr:twoCellAnchor editAs="oneCell">
    <xdr:from>
      <xdr:col>2</xdr:col>
      <xdr:colOff>563382</xdr:colOff>
      <xdr:row>20</xdr:row>
      <xdr:rowOff>17948</xdr:rowOff>
    </xdr:from>
    <xdr:to>
      <xdr:col>2</xdr:col>
      <xdr:colOff>1938419</xdr:colOff>
      <xdr:row>20</xdr:row>
      <xdr:rowOff>1205807</xdr:rowOff>
    </xdr:to>
    <xdr:pic>
      <xdr:nvPicPr>
        <xdr:cNvPr id="15" name="Picture 14">
          <a:extLst>
            <a:ext uri="{FF2B5EF4-FFF2-40B4-BE49-F238E27FC236}">
              <a16:creationId xmlns:a16="http://schemas.microsoft.com/office/drawing/2014/main" id="{624A1916-F6ED-0149-B1B3-7FA9306A1659}"/>
            </a:ext>
          </a:extLst>
        </xdr:cNvPr>
        <xdr:cNvPicPr>
          <a:picLocks noChangeAspect="1"/>
        </xdr:cNvPicPr>
      </xdr:nvPicPr>
      <xdr:blipFill rotWithShape="1">
        <a:blip xmlns:r="http://schemas.openxmlformats.org/officeDocument/2006/relationships" r:embed="rId14"/>
        <a:srcRect l="26660" t="6750" r="26409" b="10750"/>
        <a:stretch/>
      </xdr:blipFill>
      <xdr:spPr>
        <a:xfrm>
          <a:off x="2519182" y="17950348"/>
          <a:ext cx="1375037" cy="1187859"/>
        </a:xfrm>
        <a:prstGeom prst="rect">
          <a:avLst/>
        </a:prstGeom>
      </xdr:spPr>
    </xdr:pic>
    <xdr:clientData/>
  </xdr:twoCellAnchor>
  <xdr:twoCellAnchor editAs="oneCell">
    <xdr:from>
      <xdr:col>2</xdr:col>
      <xdr:colOff>276918</xdr:colOff>
      <xdr:row>21</xdr:row>
      <xdr:rowOff>28646</xdr:rowOff>
    </xdr:from>
    <xdr:to>
      <xdr:col>2</xdr:col>
      <xdr:colOff>2186049</xdr:colOff>
      <xdr:row>21</xdr:row>
      <xdr:rowOff>1699698</xdr:rowOff>
    </xdr:to>
    <xdr:pic>
      <xdr:nvPicPr>
        <xdr:cNvPr id="16" name="Picture 15">
          <a:extLst>
            <a:ext uri="{FF2B5EF4-FFF2-40B4-BE49-F238E27FC236}">
              <a16:creationId xmlns:a16="http://schemas.microsoft.com/office/drawing/2014/main" id="{5FF96915-EEAF-084E-A21C-67481636143E}"/>
            </a:ext>
          </a:extLst>
        </xdr:cNvPr>
        <xdr:cNvPicPr>
          <a:picLocks noChangeAspect="1"/>
        </xdr:cNvPicPr>
      </xdr:nvPicPr>
      <xdr:blipFill rotWithShape="1">
        <a:blip xmlns:r="http://schemas.openxmlformats.org/officeDocument/2006/relationships" r:embed="rId15"/>
        <a:srcRect l="24080" t="3250" r="23706" b="3749"/>
        <a:stretch/>
      </xdr:blipFill>
      <xdr:spPr>
        <a:xfrm>
          <a:off x="2232718" y="19256446"/>
          <a:ext cx="1909131" cy="1671052"/>
        </a:xfrm>
        <a:prstGeom prst="rect">
          <a:avLst/>
        </a:prstGeom>
      </xdr:spPr>
    </xdr:pic>
    <xdr:clientData/>
  </xdr:twoCellAnchor>
  <xdr:twoCellAnchor editAs="oneCell">
    <xdr:from>
      <xdr:col>2</xdr:col>
      <xdr:colOff>209980</xdr:colOff>
      <xdr:row>22</xdr:row>
      <xdr:rowOff>165196</xdr:rowOff>
    </xdr:from>
    <xdr:to>
      <xdr:col>2</xdr:col>
      <xdr:colOff>2100656</xdr:colOff>
      <xdr:row>22</xdr:row>
      <xdr:rowOff>1895781</xdr:rowOff>
    </xdr:to>
    <xdr:pic>
      <xdr:nvPicPr>
        <xdr:cNvPr id="17" name="Picture 16">
          <a:extLst>
            <a:ext uri="{FF2B5EF4-FFF2-40B4-BE49-F238E27FC236}">
              <a16:creationId xmlns:a16="http://schemas.microsoft.com/office/drawing/2014/main" id="{4ABB6956-B881-0A41-BCA4-3F4DA0FFD693}"/>
            </a:ext>
          </a:extLst>
        </xdr:cNvPr>
        <xdr:cNvPicPr>
          <a:picLocks noChangeAspect="1"/>
        </xdr:cNvPicPr>
      </xdr:nvPicPr>
      <xdr:blipFill rotWithShape="1">
        <a:blip xmlns:r="http://schemas.openxmlformats.org/officeDocument/2006/relationships" r:embed="rId16"/>
        <a:srcRect l="23097" r="23215"/>
        <a:stretch/>
      </xdr:blipFill>
      <xdr:spPr>
        <a:xfrm>
          <a:off x="2165780" y="21132896"/>
          <a:ext cx="1890676" cy="1730585"/>
        </a:xfrm>
        <a:prstGeom prst="rect">
          <a:avLst/>
        </a:prstGeom>
      </xdr:spPr>
    </xdr:pic>
    <xdr:clientData/>
  </xdr:twoCellAnchor>
  <xdr:twoCellAnchor editAs="oneCell">
    <xdr:from>
      <xdr:col>2</xdr:col>
      <xdr:colOff>219623</xdr:colOff>
      <xdr:row>23</xdr:row>
      <xdr:rowOff>19096</xdr:rowOff>
    </xdr:from>
    <xdr:to>
      <xdr:col>2</xdr:col>
      <xdr:colOff>2110313</xdr:colOff>
      <xdr:row>24</xdr:row>
      <xdr:rowOff>4775</xdr:rowOff>
    </xdr:to>
    <xdr:pic>
      <xdr:nvPicPr>
        <xdr:cNvPr id="18" name="Picture 17">
          <a:extLst>
            <a:ext uri="{FF2B5EF4-FFF2-40B4-BE49-F238E27FC236}">
              <a16:creationId xmlns:a16="http://schemas.microsoft.com/office/drawing/2014/main" id="{5E1D9781-D341-0240-9518-B786946F9378}"/>
            </a:ext>
          </a:extLst>
        </xdr:cNvPr>
        <xdr:cNvPicPr>
          <a:picLocks noChangeAspect="1"/>
        </xdr:cNvPicPr>
      </xdr:nvPicPr>
      <xdr:blipFill rotWithShape="1">
        <a:blip xmlns:r="http://schemas.openxmlformats.org/officeDocument/2006/relationships" r:embed="rId17"/>
        <a:srcRect l="25186" r="25672"/>
        <a:stretch/>
      </xdr:blipFill>
      <xdr:spPr>
        <a:xfrm>
          <a:off x="2175423" y="23107696"/>
          <a:ext cx="1890690" cy="1903379"/>
        </a:xfrm>
        <a:prstGeom prst="rect">
          <a:avLst/>
        </a:prstGeom>
      </xdr:spPr>
    </xdr:pic>
    <xdr:clientData/>
  </xdr:twoCellAnchor>
  <xdr:twoCellAnchor editAs="oneCell">
    <xdr:from>
      <xdr:col>2</xdr:col>
      <xdr:colOff>226801</xdr:colOff>
      <xdr:row>25</xdr:row>
      <xdr:rowOff>11652</xdr:rowOff>
    </xdr:from>
    <xdr:to>
      <xdr:col>2</xdr:col>
      <xdr:colOff>2295321</xdr:colOff>
      <xdr:row>25</xdr:row>
      <xdr:rowOff>1898445</xdr:rowOff>
    </xdr:to>
    <xdr:pic>
      <xdr:nvPicPr>
        <xdr:cNvPr id="19" name="Picture 18">
          <a:extLst>
            <a:ext uri="{FF2B5EF4-FFF2-40B4-BE49-F238E27FC236}">
              <a16:creationId xmlns:a16="http://schemas.microsoft.com/office/drawing/2014/main" id="{5A32130F-AAC3-BC49-821C-F811A88CDA75}"/>
            </a:ext>
          </a:extLst>
        </xdr:cNvPr>
        <xdr:cNvPicPr>
          <a:picLocks noChangeAspect="1"/>
        </xdr:cNvPicPr>
      </xdr:nvPicPr>
      <xdr:blipFill rotWithShape="1">
        <a:blip xmlns:r="http://schemas.openxmlformats.org/officeDocument/2006/relationships" r:embed="rId18"/>
        <a:srcRect l="24034" r="23888"/>
        <a:stretch/>
      </xdr:blipFill>
      <xdr:spPr>
        <a:xfrm>
          <a:off x="2182601" y="26935652"/>
          <a:ext cx="2068520" cy="1886793"/>
        </a:xfrm>
        <a:prstGeom prst="rect">
          <a:avLst/>
        </a:prstGeom>
      </xdr:spPr>
    </xdr:pic>
    <xdr:clientData/>
  </xdr:twoCellAnchor>
  <xdr:twoCellAnchor editAs="oneCell">
    <xdr:from>
      <xdr:col>2</xdr:col>
      <xdr:colOff>38979</xdr:colOff>
      <xdr:row>24</xdr:row>
      <xdr:rowOff>209727</xdr:rowOff>
    </xdr:from>
    <xdr:to>
      <xdr:col>2</xdr:col>
      <xdr:colOff>2458438</xdr:colOff>
      <xdr:row>24</xdr:row>
      <xdr:rowOff>1787018</xdr:rowOff>
    </xdr:to>
    <xdr:pic>
      <xdr:nvPicPr>
        <xdr:cNvPr id="20" name="Picture 19">
          <a:extLst>
            <a:ext uri="{FF2B5EF4-FFF2-40B4-BE49-F238E27FC236}">
              <a16:creationId xmlns:a16="http://schemas.microsoft.com/office/drawing/2014/main" id="{30AA92F6-7F1F-654E-A219-402592D7E4C4}"/>
            </a:ext>
          </a:extLst>
        </xdr:cNvPr>
        <xdr:cNvPicPr>
          <a:picLocks noChangeAspect="1"/>
        </xdr:cNvPicPr>
      </xdr:nvPicPr>
      <xdr:blipFill rotWithShape="1">
        <a:blip xmlns:r="http://schemas.openxmlformats.org/officeDocument/2006/relationships" r:embed="rId19"/>
        <a:srcRect l="34478" r="34791"/>
        <a:stretch/>
      </xdr:blipFill>
      <xdr:spPr>
        <a:xfrm rot="5400000">
          <a:off x="2415863" y="24794943"/>
          <a:ext cx="1577291" cy="2419459"/>
        </a:xfrm>
        <a:prstGeom prst="rect">
          <a:avLst/>
        </a:prstGeom>
      </xdr:spPr>
    </xdr:pic>
    <xdr:clientData/>
  </xdr:twoCellAnchor>
  <xdr:twoCellAnchor editAs="oneCell">
    <xdr:from>
      <xdr:col>2</xdr:col>
      <xdr:colOff>97176</xdr:colOff>
      <xdr:row>26</xdr:row>
      <xdr:rowOff>11982</xdr:rowOff>
    </xdr:from>
    <xdr:to>
      <xdr:col>2</xdr:col>
      <xdr:colOff>2424966</xdr:colOff>
      <xdr:row>26</xdr:row>
      <xdr:rowOff>2085956</xdr:rowOff>
    </xdr:to>
    <xdr:pic>
      <xdr:nvPicPr>
        <xdr:cNvPr id="21" name="Picture 20">
          <a:extLst>
            <a:ext uri="{FF2B5EF4-FFF2-40B4-BE49-F238E27FC236}">
              <a16:creationId xmlns:a16="http://schemas.microsoft.com/office/drawing/2014/main" id="{F1643E49-267A-F54A-B37C-BADC64350F8C}"/>
            </a:ext>
          </a:extLst>
        </xdr:cNvPr>
        <xdr:cNvPicPr>
          <a:picLocks noChangeAspect="1"/>
        </xdr:cNvPicPr>
      </xdr:nvPicPr>
      <xdr:blipFill rotWithShape="1">
        <a:blip xmlns:r="http://schemas.openxmlformats.org/officeDocument/2006/relationships" r:embed="rId20"/>
        <a:srcRect l="28993" r="28158"/>
        <a:stretch/>
      </xdr:blipFill>
      <xdr:spPr>
        <a:xfrm rot="5400000">
          <a:off x="2179884" y="28726774"/>
          <a:ext cx="2073974" cy="2327790"/>
        </a:xfrm>
        <a:prstGeom prst="rect">
          <a:avLst/>
        </a:prstGeom>
      </xdr:spPr>
    </xdr:pic>
    <xdr:clientData/>
  </xdr:twoCellAnchor>
  <xdr:twoCellAnchor editAs="oneCell">
    <xdr:from>
      <xdr:col>2</xdr:col>
      <xdr:colOff>0</xdr:colOff>
      <xdr:row>11</xdr:row>
      <xdr:rowOff>67734</xdr:rowOff>
    </xdr:from>
    <xdr:to>
      <xdr:col>2</xdr:col>
      <xdr:colOff>2437740</xdr:colOff>
      <xdr:row>11</xdr:row>
      <xdr:rowOff>1032934</xdr:rowOff>
    </xdr:to>
    <xdr:pic>
      <xdr:nvPicPr>
        <xdr:cNvPr id="22" name="Picture 21">
          <a:extLst>
            <a:ext uri="{FF2B5EF4-FFF2-40B4-BE49-F238E27FC236}">
              <a16:creationId xmlns:a16="http://schemas.microsoft.com/office/drawing/2014/main" id="{68A22F21-B8F9-FE4E-98D3-71494D9C03AA}"/>
            </a:ext>
          </a:extLst>
        </xdr:cNvPr>
        <xdr:cNvPicPr>
          <a:picLocks noChangeAspect="1"/>
        </xdr:cNvPicPr>
      </xdr:nvPicPr>
      <xdr:blipFill rotWithShape="1">
        <a:blip xmlns:r="http://schemas.openxmlformats.org/officeDocument/2006/relationships" r:embed="rId21"/>
        <a:srcRect l="44009" t="23670" r="10240" b="20195"/>
        <a:stretch/>
      </xdr:blipFill>
      <xdr:spPr>
        <a:xfrm>
          <a:off x="1955800" y="7687734"/>
          <a:ext cx="2437740" cy="965200"/>
        </a:xfrm>
        <a:prstGeom prst="rect">
          <a:avLst/>
        </a:prstGeom>
      </xdr:spPr>
    </xdr:pic>
    <xdr:clientData/>
  </xdr:twoCellAnchor>
  <xdr:twoCellAnchor editAs="oneCell">
    <xdr:from>
      <xdr:col>2</xdr:col>
      <xdr:colOff>265814</xdr:colOff>
      <xdr:row>10</xdr:row>
      <xdr:rowOff>88606</xdr:rowOff>
    </xdr:from>
    <xdr:to>
      <xdr:col>2</xdr:col>
      <xdr:colOff>2229883</xdr:colOff>
      <xdr:row>10</xdr:row>
      <xdr:rowOff>989420</xdr:rowOff>
    </xdr:to>
    <xdr:pic>
      <xdr:nvPicPr>
        <xdr:cNvPr id="23" name="Picture 22">
          <a:extLst>
            <a:ext uri="{FF2B5EF4-FFF2-40B4-BE49-F238E27FC236}">
              <a16:creationId xmlns:a16="http://schemas.microsoft.com/office/drawing/2014/main" id="{43B41B59-4158-6F42-AC1F-DFB807246C36}"/>
            </a:ext>
          </a:extLst>
        </xdr:cNvPr>
        <xdr:cNvPicPr>
          <a:picLocks noChangeAspect="1"/>
        </xdr:cNvPicPr>
      </xdr:nvPicPr>
      <xdr:blipFill rotWithShape="1">
        <a:blip xmlns:r="http://schemas.openxmlformats.org/officeDocument/2006/relationships" r:embed="rId22"/>
        <a:srcRect l="32207" t="23491" r="32001" b="24872"/>
        <a:stretch/>
      </xdr:blipFill>
      <xdr:spPr>
        <a:xfrm>
          <a:off x="2221614" y="6654506"/>
          <a:ext cx="1964069" cy="900814"/>
        </a:xfrm>
        <a:prstGeom prst="rect">
          <a:avLst/>
        </a:prstGeom>
      </xdr:spPr>
    </xdr:pic>
    <xdr:clientData/>
  </xdr:twoCellAnchor>
  <xdr:twoCellAnchor>
    <xdr:from>
      <xdr:col>5</xdr:col>
      <xdr:colOff>19050</xdr:colOff>
      <xdr:row>45</xdr:row>
      <xdr:rowOff>19050</xdr:rowOff>
    </xdr:from>
    <xdr:to>
      <xdr:col>13</xdr:col>
      <xdr:colOff>508000</xdr:colOff>
      <xdr:row>63</xdr:row>
      <xdr:rowOff>25400</xdr:rowOff>
    </xdr:to>
    <xdr:graphicFrame macro="">
      <xdr:nvGraphicFramePr>
        <xdr:cNvPr id="24" name="Chart 23">
          <a:extLst>
            <a:ext uri="{FF2B5EF4-FFF2-40B4-BE49-F238E27FC236}">
              <a16:creationId xmlns:a16="http://schemas.microsoft.com/office/drawing/2014/main" id="{3D196122-5367-9C40-A8D2-7F4E90C0BE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781766</xdr:colOff>
      <xdr:row>5</xdr:row>
      <xdr:rowOff>15851</xdr:rowOff>
    </xdr:from>
    <xdr:to>
      <xdr:col>2</xdr:col>
      <xdr:colOff>1525831</xdr:colOff>
      <xdr:row>6</xdr:row>
      <xdr:rowOff>1370</xdr:rowOff>
    </xdr:to>
    <xdr:pic>
      <xdr:nvPicPr>
        <xdr:cNvPr id="2" name="Picture 1">
          <a:extLst>
            <a:ext uri="{FF2B5EF4-FFF2-40B4-BE49-F238E27FC236}">
              <a16:creationId xmlns:a16="http://schemas.microsoft.com/office/drawing/2014/main" id="{5DBE5FB1-6593-6041-9558-D6D43C292A76}"/>
            </a:ext>
          </a:extLst>
        </xdr:cNvPr>
        <xdr:cNvPicPr>
          <a:picLocks noChangeAspect="1"/>
        </xdr:cNvPicPr>
      </xdr:nvPicPr>
      <xdr:blipFill rotWithShape="1">
        <a:blip xmlns:r="http://schemas.openxmlformats.org/officeDocument/2006/relationships" r:embed="rId1"/>
        <a:srcRect l="51079" t="18605" r="20177" b="18270"/>
        <a:stretch/>
      </xdr:blipFill>
      <xdr:spPr>
        <a:xfrm>
          <a:off x="2737566" y="1247751"/>
          <a:ext cx="744065" cy="823719"/>
        </a:xfrm>
        <a:prstGeom prst="rect">
          <a:avLst/>
        </a:prstGeom>
      </xdr:spPr>
    </xdr:pic>
    <xdr:clientData/>
  </xdr:twoCellAnchor>
  <xdr:twoCellAnchor editAs="oneCell">
    <xdr:from>
      <xdr:col>2</xdr:col>
      <xdr:colOff>590780</xdr:colOff>
      <xdr:row>6</xdr:row>
      <xdr:rowOff>101320</xdr:rowOff>
    </xdr:from>
    <xdr:to>
      <xdr:col>2</xdr:col>
      <xdr:colOff>1901985</xdr:colOff>
      <xdr:row>6</xdr:row>
      <xdr:rowOff>871692</xdr:rowOff>
    </xdr:to>
    <xdr:pic>
      <xdr:nvPicPr>
        <xdr:cNvPr id="3" name="Picture 2">
          <a:extLst>
            <a:ext uri="{FF2B5EF4-FFF2-40B4-BE49-F238E27FC236}">
              <a16:creationId xmlns:a16="http://schemas.microsoft.com/office/drawing/2014/main" id="{FA17D534-A3B4-534F-9DC6-38339966B744}"/>
            </a:ext>
          </a:extLst>
        </xdr:cNvPr>
        <xdr:cNvPicPr>
          <a:picLocks noChangeAspect="1"/>
        </xdr:cNvPicPr>
      </xdr:nvPicPr>
      <xdr:blipFill rotWithShape="1">
        <a:blip xmlns:r="http://schemas.openxmlformats.org/officeDocument/2006/relationships" r:embed="rId2"/>
        <a:srcRect l="24334" t="17786" r="24183" b="20611"/>
        <a:stretch/>
      </xdr:blipFill>
      <xdr:spPr>
        <a:xfrm>
          <a:off x="2546580" y="2298420"/>
          <a:ext cx="1311205" cy="770372"/>
        </a:xfrm>
        <a:prstGeom prst="rect">
          <a:avLst/>
        </a:prstGeom>
      </xdr:spPr>
    </xdr:pic>
    <xdr:clientData/>
  </xdr:twoCellAnchor>
  <xdr:twoCellAnchor editAs="oneCell">
    <xdr:from>
      <xdr:col>2</xdr:col>
      <xdr:colOff>657112</xdr:colOff>
      <xdr:row>7</xdr:row>
      <xdr:rowOff>35384</xdr:rowOff>
    </xdr:from>
    <xdr:to>
      <xdr:col>2</xdr:col>
      <xdr:colOff>1831014</xdr:colOff>
      <xdr:row>7</xdr:row>
      <xdr:rowOff>1243831</xdr:rowOff>
    </xdr:to>
    <xdr:pic>
      <xdr:nvPicPr>
        <xdr:cNvPr id="4" name="Picture 3">
          <a:extLst>
            <a:ext uri="{FF2B5EF4-FFF2-40B4-BE49-F238E27FC236}">
              <a16:creationId xmlns:a16="http://schemas.microsoft.com/office/drawing/2014/main" id="{35A06C20-2AA0-334D-8414-0BD6B33F154B}"/>
            </a:ext>
          </a:extLst>
        </xdr:cNvPr>
        <xdr:cNvPicPr>
          <a:picLocks noChangeAspect="1"/>
        </xdr:cNvPicPr>
      </xdr:nvPicPr>
      <xdr:blipFill rotWithShape="1">
        <a:blip xmlns:r="http://schemas.openxmlformats.org/officeDocument/2006/relationships" r:embed="rId3"/>
        <a:srcRect l="31216" t="3970" r="28300" b="11664"/>
        <a:stretch/>
      </xdr:blipFill>
      <xdr:spPr>
        <a:xfrm>
          <a:off x="2612912" y="3146884"/>
          <a:ext cx="1173902" cy="1208447"/>
        </a:xfrm>
        <a:prstGeom prst="rect">
          <a:avLst/>
        </a:prstGeom>
      </xdr:spPr>
    </xdr:pic>
    <xdr:clientData/>
  </xdr:twoCellAnchor>
  <xdr:twoCellAnchor editAs="oneCell">
    <xdr:from>
      <xdr:col>2</xdr:col>
      <xdr:colOff>542998</xdr:colOff>
      <xdr:row>8</xdr:row>
      <xdr:rowOff>36027</xdr:rowOff>
    </xdr:from>
    <xdr:to>
      <xdr:col>2</xdr:col>
      <xdr:colOff>1965808</xdr:colOff>
      <xdr:row>8</xdr:row>
      <xdr:rowOff>945744</xdr:rowOff>
    </xdr:to>
    <xdr:pic>
      <xdr:nvPicPr>
        <xdr:cNvPr id="5" name="Picture 4">
          <a:extLst>
            <a:ext uri="{FF2B5EF4-FFF2-40B4-BE49-F238E27FC236}">
              <a16:creationId xmlns:a16="http://schemas.microsoft.com/office/drawing/2014/main" id="{46E1D9BB-E474-C34E-B204-874F303AD18B}"/>
            </a:ext>
          </a:extLst>
        </xdr:cNvPr>
        <xdr:cNvPicPr>
          <a:picLocks noChangeAspect="1"/>
        </xdr:cNvPicPr>
      </xdr:nvPicPr>
      <xdr:blipFill rotWithShape="1">
        <a:blip xmlns:r="http://schemas.openxmlformats.org/officeDocument/2006/relationships" r:embed="rId4"/>
        <a:srcRect l="24799" t="12969" r="22820" b="18880"/>
        <a:stretch/>
      </xdr:blipFill>
      <xdr:spPr>
        <a:xfrm>
          <a:off x="2498798" y="4417527"/>
          <a:ext cx="1422810" cy="909717"/>
        </a:xfrm>
        <a:prstGeom prst="rect">
          <a:avLst/>
        </a:prstGeom>
      </xdr:spPr>
    </xdr:pic>
    <xdr:clientData/>
  </xdr:twoCellAnchor>
  <xdr:twoCellAnchor editAs="oneCell">
    <xdr:from>
      <xdr:col>2</xdr:col>
      <xdr:colOff>478868</xdr:colOff>
      <xdr:row>9</xdr:row>
      <xdr:rowOff>16929</xdr:rowOff>
    </xdr:from>
    <xdr:to>
      <xdr:col>2</xdr:col>
      <xdr:colOff>2038824</xdr:colOff>
      <xdr:row>9</xdr:row>
      <xdr:rowOff>962674</xdr:rowOff>
    </xdr:to>
    <xdr:pic>
      <xdr:nvPicPr>
        <xdr:cNvPr id="6" name="Picture 5">
          <a:extLst>
            <a:ext uri="{FF2B5EF4-FFF2-40B4-BE49-F238E27FC236}">
              <a16:creationId xmlns:a16="http://schemas.microsoft.com/office/drawing/2014/main" id="{AD05F4AD-F62F-E143-8D1C-CE63022919B9}"/>
            </a:ext>
          </a:extLst>
        </xdr:cNvPr>
        <xdr:cNvPicPr>
          <a:picLocks noChangeAspect="1"/>
        </xdr:cNvPicPr>
      </xdr:nvPicPr>
      <xdr:blipFill rotWithShape="1">
        <a:blip xmlns:r="http://schemas.openxmlformats.org/officeDocument/2006/relationships" r:embed="rId5"/>
        <a:srcRect l="24452" t="16979" r="23747" b="19115"/>
        <a:stretch/>
      </xdr:blipFill>
      <xdr:spPr>
        <a:xfrm>
          <a:off x="2434668" y="5401729"/>
          <a:ext cx="1559956" cy="945745"/>
        </a:xfrm>
        <a:prstGeom prst="rect">
          <a:avLst/>
        </a:prstGeom>
      </xdr:spPr>
    </xdr:pic>
    <xdr:clientData/>
  </xdr:twoCellAnchor>
  <xdr:twoCellAnchor editAs="oneCell">
    <xdr:from>
      <xdr:col>2</xdr:col>
      <xdr:colOff>476157</xdr:colOff>
      <xdr:row>12</xdr:row>
      <xdr:rowOff>21144</xdr:rowOff>
    </xdr:from>
    <xdr:to>
      <xdr:col>2</xdr:col>
      <xdr:colOff>1935306</xdr:colOff>
      <xdr:row>13</xdr:row>
      <xdr:rowOff>4076</xdr:rowOff>
    </xdr:to>
    <xdr:pic>
      <xdr:nvPicPr>
        <xdr:cNvPr id="7" name="Picture 6">
          <a:extLst>
            <a:ext uri="{FF2B5EF4-FFF2-40B4-BE49-F238E27FC236}">
              <a16:creationId xmlns:a16="http://schemas.microsoft.com/office/drawing/2014/main" id="{8D760615-EE50-D14E-A19A-63A6C7114E1F}"/>
            </a:ext>
          </a:extLst>
        </xdr:cNvPr>
        <xdr:cNvPicPr>
          <a:picLocks noChangeAspect="1"/>
        </xdr:cNvPicPr>
      </xdr:nvPicPr>
      <xdr:blipFill rotWithShape="1">
        <a:blip xmlns:r="http://schemas.openxmlformats.org/officeDocument/2006/relationships" r:embed="rId6"/>
        <a:srcRect l="14370" t="8254" r="27572"/>
        <a:stretch/>
      </xdr:blipFill>
      <xdr:spPr>
        <a:xfrm>
          <a:off x="2431957" y="8568244"/>
          <a:ext cx="1459149" cy="1138631"/>
        </a:xfrm>
        <a:prstGeom prst="rect">
          <a:avLst/>
        </a:prstGeom>
      </xdr:spPr>
    </xdr:pic>
    <xdr:clientData/>
  </xdr:twoCellAnchor>
  <xdr:twoCellAnchor editAs="oneCell">
    <xdr:from>
      <xdr:col>2</xdr:col>
      <xdr:colOff>368255</xdr:colOff>
      <xdr:row>13</xdr:row>
      <xdr:rowOff>27095</xdr:rowOff>
    </xdr:from>
    <xdr:to>
      <xdr:col>2</xdr:col>
      <xdr:colOff>1914341</xdr:colOff>
      <xdr:row>14</xdr:row>
      <xdr:rowOff>1426</xdr:rowOff>
    </xdr:to>
    <xdr:pic>
      <xdr:nvPicPr>
        <xdr:cNvPr id="8" name="Picture 7">
          <a:extLst>
            <a:ext uri="{FF2B5EF4-FFF2-40B4-BE49-F238E27FC236}">
              <a16:creationId xmlns:a16="http://schemas.microsoft.com/office/drawing/2014/main" id="{D33459BC-95C1-DC45-A8CB-A16B8915E6C6}"/>
            </a:ext>
          </a:extLst>
        </xdr:cNvPr>
        <xdr:cNvPicPr>
          <a:picLocks noChangeAspect="1"/>
        </xdr:cNvPicPr>
      </xdr:nvPicPr>
      <xdr:blipFill rotWithShape="1">
        <a:blip xmlns:r="http://schemas.openxmlformats.org/officeDocument/2006/relationships" r:embed="rId7"/>
        <a:srcRect l="23977" t="10733" r="22775" b="10826"/>
        <a:stretch/>
      </xdr:blipFill>
      <xdr:spPr>
        <a:xfrm>
          <a:off x="2324055" y="9729895"/>
          <a:ext cx="1546086" cy="1130031"/>
        </a:xfrm>
        <a:prstGeom prst="rect">
          <a:avLst/>
        </a:prstGeom>
      </xdr:spPr>
    </xdr:pic>
    <xdr:clientData/>
  </xdr:twoCellAnchor>
  <xdr:twoCellAnchor editAs="oneCell">
    <xdr:from>
      <xdr:col>2</xdr:col>
      <xdr:colOff>432109</xdr:colOff>
      <xdr:row>14</xdr:row>
      <xdr:rowOff>42680</xdr:rowOff>
    </xdr:from>
    <xdr:to>
      <xdr:col>2</xdr:col>
      <xdr:colOff>1972091</xdr:colOff>
      <xdr:row>14</xdr:row>
      <xdr:rowOff>859897</xdr:rowOff>
    </xdr:to>
    <xdr:pic>
      <xdr:nvPicPr>
        <xdr:cNvPr id="9" name="Picture 8">
          <a:extLst>
            <a:ext uri="{FF2B5EF4-FFF2-40B4-BE49-F238E27FC236}">
              <a16:creationId xmlns:a16="http://schemas.microsoft.com/office/drawing/2014/main" id="{C53AF7C1-A4BA-0446-A917-C33222DF9279}"/>
            </a:ext>
          </a:extLst>
        </xdr:cNvPr>
        <xdr:cNvPicPr>
          <a:picLocks noChangeAspect="1"/>
        </xdr:cNvPicPr>
      </xdr:nvPicPr>
      <xdr:blipFill rotWithShape="1">
        <a:blip xmlns:r="http://schemas.openxmlformats.org/officeDocument/2006/relationships" r:embed="rId8"/>
        <a:srcRect l="22876" t="23709" r="23842" b="18753"/>
        <a:stretch/>
      </xdr:blipFill>
      <xdr:spPr>
        <a:xfrm>
          <a:off x="2387909" y="10901180"/>
          <a:ext cx="1539982" cy="817217"/>
        </a:xfrm>
        <a:prstGeom prst="rect">
          <a:avLst/>
        </a:prstGeom>
      </xdr:spPr>
    </xdr:pic>
    <xdr:clientData/>
  </xdr:twoCellAnchor>
  <xdr:twoCellAnchor editAs="oneCell">
    <xdr:from>
      <xdr:col>2</xdr:col>
      <xdr:colOff>324082</xdr:colOff>
      <xdr:row>15</xdr:row>
      <xdr:rowOff>108938</xdr:rowOff>
    </xdr:from>
    <xdr:to>
      <xdr:col>2</xdr:col>
      <xdr:colOff>2000328</xdr:colOff>
      <xdr:row>15</xdr:row>
      <xdr:rowOff>1235375</xdr:rowOff>
    </xdr:to>
    <xdr:pic>
      <xdr:nvPicPr>
        <xdr:cNvPr id="10" name="Picture 9">
          <a:extLst>
            <a:ext uri="{FF2B5EF4-FFF2-40B4-BE49-F238E27FC236}">
              <a16:creationId xmlns:a16="http://schemas.microsoft.com/office/drawing/2014/main" id="{C865D30A-5325-C14B-A991-8BD05B1AC566}"/>
            </a:ext>
          </a:extLst>
        </xdr:cNvPr>
        <xdr:cNvPicPr>
          <a:picLocks noChangeAspect="1"/>
        </xdr:cNvPicPr>
      </xdr:nvPicPr>
      <xdr:blipFill rotWithShape="1">
        <a:blip xmlns:r="http://schemas.openxmlformats.org/officeDocument/2006/relationships" r:embed="rId9"/>
        <a:srcRect l="22876" t="19083" r="23842" b="8056"/>
        <a:stretch/>
      </xdr:blipFill>
      <xdr:spPr>
        <a:xfrm>
          <a:off x="2279882" y="11843738"/>
          <a:ext cx="1676246" cy="1126437"/>
        </a:xfrm>
        <a:prstGeom prst="rect">
          <a:avLst/>
        </a:prstGeom>
      </xdr:spPr>
    </xdr:pic>
    <xdr:clientData/>
  </xdr:twoCellAnchor>
  <xdr:twoCellAnchor editAs="oneCell">
    <xdr:from>
      <xdr:col>2</xdr:col>
      <xdr:colOff>372404</xdr:colOff>
      <xdr:row>16</xdr:row>
      <xdr:rowOff>9548</xdr:rowOff>
    </xdr:from>
    <xdr:to>
      <xdr:col>2</xdr:col>
      <xdr:colOff>1904999</xdr:colOff>
      <xdr:row>16</xdr:row>
      <xdr:rowOff>840300</xdr:rowOff>
    </xdr:to>
    <xdr:pic>
      <xdr:nvPicPr>
        <xdr:cNvPr id="11" name="Picture 10">
          <a:extLst>
            <a:ext uri="{FF2B5EF4-FFF2-40B4-BE49-F238E27FC236}">
              <a16:creationId xmlns:a16="http://schemas.microsoft.com/office/drawing/2014/main" id="{87D9B527-9410-B14A-8055-C4EC72F3A76F}"/>
            </a:ext>
          </a:extLst>
        </xdr:cNvPr>
        <xdr:cNvPicPr>
          <a:picLocks noChangeAspect="1"/>
        </xdr:cNvPicPr>
      </xdr:nvPicPr>
      <xdr:blipFill rotWithShape="1">
        <a:blip xmlns:r="http://schemas.openxmlformats.org/officeDocument/2006/relationships" r:embed="rId10"/>
        <a:srcRect l="23588" t="21500" r="23829" b="20500"/>
        <a:stretch/>
      </xdr:blipFill>
      <xdr:spPr>
        <a:xfrm>
          <a:off x="2328204" y="13039748"/>
          <a:ext cx="1532595" cy="830752"/>
        </a:xfrm>
        <a:prstGeom prst="rect">
          <a:avLst/>
        </a:prstGeom>
      </xdr:spPr>
    </xdr:pic>
    <xdr:clientData/>
  </xdr:twoCellAnchor>
  <xdr:twoCellAnchor editAs="oneCell">
    <xdr:from>
      <xdr:col>2</xdr:col>
      <xdr:colOff>448797</xdr:colOff>
      <xdr:row>17</xdr:row>
      <xdr:rowOff>40558</xdr:rowOff>
    </xdr:from>
    <xdr:to>
      <xdr:col>2</xdr:col>
      <xdr:colOff>1928872</xdr:colOff>
      <xdr:row>17</xdr:row>
      <xdr:rowOff>1470526</xdr:rowOff>
    </xdr:to>
    <xdr:pic>
      <xdr:nvPicPr>
        <xdr:cNvPr id="12" name="Picture 11">
          <a:extLst>
            <a:ext uri="{FF2B5EF4-FFF2-40B4-BE49-F238E27FC236}">
              <a16:creationId xmlns:a16="http://schemas.microsoft.com/office/drawing/2014/main" id="{D0F60DD3-DD93-8C46-B2C0-E0A4349C998E}"/>
            </a:ext>
          </a:extLst>
        </xdr:cNvPr>
        <xdr:cNvPicPr>
          <a:picLocks noChangeAspect="1"/>
        </xdr:cNvPicPr>
      </xdr:nvPicPr>
      <xdr:blipFill rotWithShape="1">
        <a:blip xmlns:r="http://schemas.openxmlformats.org/officeDocument/2006/relationships" r:embed="rId11"/>
        <a:srcRect l="26414" t="3999" r="26409" b="3250"/>
        <a:stretch/>
      </xdr:blipFill>
      <xdr:spPr>
        <a:xfrm>
          <a:off x="2404597" y="13972458"/>
          <a:ext cx="1480075" cy="1429968"/>
        </a:xfrm>
        <a:prstGeom prst="rect">
          <a:avLst/>
        </a:prstGeom>
      </xdr:spPr>
    </xdr:pic>
    <xdr:clientData/>
  </xdr:twoCellAnchor>
  <xdr:twoCellAnchor editAs="oneCell">
    <xdr:from>
      <xdr:col>2</xdr:col>
      <xdr:colOff>563383</xdr:colOff>
      <xdr:row>18</xdr:row>
      <xdr:rowOff>63977</xdr:rowOff>
    </xdr:from>
    <xdr:to>
      <xdr:col>2</xdr:col>
      <xdr:colOff>1986166</xdr:colOff>
      <xdr:row>18</xdr:row>
      <xdr:rowOff>1165120</xdr:rowOff>
    </xdr:to>
    <xdr:pic>
      <xdr:nvPicPr>
        <xdr:cNvPr id="13" name="Picture 12">
          <a:extLst>
            <a:ext uri="{FF2B5EF4-FFF2-40B4-BE49-F238E27FC236}">
              <a16:creationId xmlns:a16="http://schemas.microsoft.com/office/drawing/2014/main" id="{16F588FB-7E6B-6147-91A1-9F28FB09FDAE}"/>
            </a:ext>
          </a:extLst>
        </xdr:cNvPr>
        <xdr:cNvPicPr>
          <a:picLocks noChangeAspect="1"/>
        </xdr:cNvPicPr>
      </xdr:nvPicPr>
      <xdr:blipFill rotWithShape="1">
        <a:blip xmlns:r="http://schemas.openxmlformats.org/officeDocument/2006/relationships" r:embed="rId12"/>
        <a:srcRect l="27151" t="14250" r="26655" b="13000"/>
        <a:stretch/>
      </xdr:blipFill>
      <xdr:spPr>
        <a:xfrm>
          <a:off x="2519183" y="15481777"/>
          <a:ext cx="1422783" cy="1101143"/>
        </a:xfrm>
        <a:prstGeom prst="rect">
          <a:avLst/>
        </a:prstGeom>
      </xdr:spPr>
    </xdr:pic>
    <xdr:clientData/>
  </xdr:twoCellAnchor>
  <xdr:twoCellAnchor editAs="oneCell">
    <xdr:from>
      <xdr:col>2</xdr:col>
      <xdr:colOff>334210</xdr:colOff>
      <xdr:row>19</xdr:row>
      <xdr:rowOff>9548</xdr:rowOff>
    </xdr:from>
    <xdr:to>
      <xdr:col>2</xdr:col>
      <xdr:colOff>2140563</xdr:colOff>
      <xdr:row>19</xdr:row>
      <xdr:rowOff>1164963</xdr:rowOff>
    </xdr:to>
    <xdr:pic>
      <xdr:nvPicPr>
        <xdr:cNvPr id="14" name="Picture 13">
          <a:extLst>
            <a:ext uri="{FF2B5EF4-FFF2-40B4-BE49-F238E27FC236}">
              <a16:creationId xmlns:a16="http://schemas.microsoft.com/office/drawing/2014/main" id="{10093B02-7E9B-EA43-8509-D509BABF98EC}"/>
            </a:ext>
          </a:extLst>
        </xdr:cNvPr>
        <xdr:cNvPicPr>
          <a:picLocks noChangeAspect="1"/>
        </xdr:cNvPicPr>
      </xdr:nvPicPr>
      <xdr:blipFill rotWithShape="1">
        <a:blip xmlns:r="http://schemas.openxmlformats.org/officeDocument/2006/relationships" r:embed="rId13"/>
        <a:srcRect l="21622" t="15500" r="23829" b="13499"/>
        <a:stretch/>
      </xdr:blipFill>
      <xdr:spPr>
        <a:xfrm>
          <a:off x="2290010" y="16608448"/>
          <a:ext cx="1806353" cy="1155415"/>
        </a:xfrm>
        <a:prstGeom prst="rect">
          <a:avLst/>
        </a:prstGeom>
      </xdr:spPr>
    </xdr:pic>
    <xdr:clientData/>
  </xdr:twoCellAnchor>
  <xdr:twoCellAnchor editAs="oneCell">
    <xdr:from>
      <xdr:col>2</xdr:col>
      <xdr:colOff>563382</xdr:colOff>
      <xdr:row>20</xdr:row>
      <xdr:rowOff>17948</xdr:rowOff>
    </xdr:from>
    <xdr:to>
      <xdr:col>2</xdr:col>
      <xdr:colOff>1938419</xdr:colOff>
      <xdr:row>20</xdr:row>
      <xdr:rowOff>1205807</xdr:rowOff>
    </xdr:to>
    <xdr:pic>
      <xdr:nvPicPr>
        <xdr:cNvPr id="15" name="Picture 14">
          <a:extLst>
            <a:ext uri="{FF2B5EF4-FFF2-40B4-BE49-F238E27FC236}">
              <a16:creationId xmlns:a16="http://schemas.microsoft.com/office/drawing/2014/main" id="{7FD52B2F-17F6-2E42-9969-0B54749049D6}"/>
            </a:ext>
          </a:extLst>
        </xdr:cNvPr>
        <xdr:cNvPicPr>
          <a:picLocks noChangeAspect="1"/>
        </xdr:cNvPicPr>
      </xdr:nvPicPr>
      <xdr:blipFill rotWithShape="1">
        <a:blip xmlns:r="http://schemas.openxmlformats.org/officeDocument/2006/relationships" r:embed="rId14"/>
        <a:srcRect l="26660" t="6750" r="26409" b="10750"/>
        <a:stretch/>
      </xdr:blipFill>
      <xdr:spPr>
        <a:xfrm>
          <a:off x="2519182" y="17823348"/>
          <a:ext cx="1375037" cy="1187859"/>
        </a:xfrm>
        <a:prstGeom prst="rect">
          <a:avLst/>
        </a:prstGeom>
      </xdr:spPr>
    </xdr:pic>
    <xdr:clientData/>
  </xdr:twoCellAnchor>
  <xdr:twoCellAnchor editAs="oneCell">
    <xdr:from>
      <xdr:col>2</xdr:col>
      <xdr:colOff>276918</xdr:colOff>
      <xdr:row>21</xdr:row>
      <xdr:rowOff>28646</xdr:rowOff>
    </xdr:from>
    <xdr:to>
      <xdr:col>2</xdr:col>
      <xdr:colOff>2186049</xdr:colOff>
      <xdr:row>21</xdr:row>
      <xdr:rowOff>1699698</xdr:rowOff>
    </xdr:to>
    <xdr:pic>
      <xdr:nvPicPr>
        <xdr:cNvPr id="16" name="Picture 15">
          <a:extLst>
            <a:ext uri="{FF2B5EF4-FFF2-40B4-BE49-F238E27FC236}">
              <a16:creationId xmlns:a16="http://schemas.microsoft.com/office/drawing/2014/main" id="{B31B82C3-DFCB-7447-8D8A-0214C85D3A3C}"/>
            </a:ext>
          </a:extLst>
        </xdr:cNvPr>
        <xdr:cNvPicPr>
          <a:picLocks noChangeAspect="1"/>
        </xdr:cNvPicPr>
      </xdr:nvPicPr>
      <xdr:blipFill rotWithShape="1">
        <a:blip xmlns:r="http://schemas.openxmlformats.org/officeDocument/2006/relationships" r:embed="rId15"/>
        <a:srcRect l="24080" t="3250" r="23706" b="3749"/>
        <a:stretch/>
      </xdr:blipFill>
      <xdr:spPr>
        <a:xfrm>
          <a:off x="2232718" y="19129446"/>
          <a:ext cx="1909131" cy="1671052"/>
        </a:xfrm>
        <a:prstGeom prst="rect">
          <a:avLst/>
        </a:prstGeom>
      </xdr:spPr>
    </xdr:pic>
    <xdr:clientData/>
  </xdr:twoCellAnchor>
  <xdr:twoCellAnchor editAs="oneCell">
    <xdr:from>
      <xdr:col>2</xdr:col>
      <xdr:colOff>209980</xdr:colOff>
      <xdr:row>22</xdr:row>
      <xdr:rowOff>165196</xdr:rowOff>
    </xdr:from>
    <xdr:to>
      <xdr:col>2</xdr:col>
      <xdr:colOff>2100656</xdr:colOff>
      <xdr:row>22</xdr:row>
      <xdr:rowOff>1895781</xdr:rowOff>
    </xdr:to>
    <xdr:pic>
      <xdr:nvPicPr>
        <xdr:cNvPr id="17" name="Picture 16">
          <a:extLst>
            <a:ext uri="{FF2B5EF4-FFF2-40B4-BE49-F238E27FC236}">
              <a16:creationId xmlns:a16="http://schemas.microsoft.com/office/drawing/2014/main" id="{CC720249-E7C8-6248-B5A4-0AC2BEE19BA2}"/>
            </a:ext>
          </a:extLst>
        </xdr:cNvPr>
        <xdr:cNvPicPr>
          <a:picLocks noChangeAspect="1"/>
        </xdr:cNvPicPr>
      </xdr:nvPicPr>
      <xdr:blipFill rotWithShape="1">
        <a:blip xmlns:r="http://schemas.openxmlformats.org/officeDocument/2006/relationships" r:embed="rId16"/>
        <a:srcRect l="23097" r="23215"/>
        <a:stretch/>
      </xdr:blipFill>
      <xdr:spPr>
        <a:xfrm>
          <a:off x="2165780" y="21005896"/>
          <a:ext cx="1890676" cy="1730585"/>
        </a:xfrm>
        <a:prstGeom prst="rect">
          <a:avLst/>
        </a:prstGeom>
      </xdr:spPr>
    </xdr:pic>
    <xdr:clientData/>
  </xdr:twoCellAnchor>
  <xdr:twoCellAnchor editAs="oneCell">
    <xdr:from>
      <xdr:col>2</xdr:col>
      <xdr:colOff>219623</xdr:colOff>
      <xdr:row>23</xdr:row>
      <xdr:rowOff>19096</xdr:rowOff>
    </xdr:from>
    <xdr:to>
      <xdr:col>2</xdr:col>
      <xdr:colOff>2110313</xdr:colOff>
      <xdr:row>24</xdr:row>
      <xdr:rowOff>4775</xdr:rowOff>
    </xdr:to>
    <xdr:pic>
      <xdr:nvPicPr>
        <xdr:cNvPr id="18" name="Picture 17">
          <a:extLst>
            <a:ext uri="{FF2B5EF4-FFF2-40B4-BE49-F238E27FC236}">
              <a16:creationId xmlns:a16="http://schemas.microsoft.com/office/drawing/2014/main" id="{560D9FDB-1558-7341-B6EA-9352744B222A}"/>
            </a:ext>
          </a:extLst>
        </xdr:cNvPr>
        <xdr:cNvPicPr>
          <a:picLocks noChangeAspect="1"/>
        </xdr:cNvPicPr>
      </xdr:nvPicPr>
      <xdr:blipFill rotWithShape="1">
        <a:blip xmlns:r="http://schemas.openxmlformats.org/officeDocument/2006/relationships" r:embed="rId17"/>
        <a:srcRect l="25186" r="25672"/>
        <a:stretch/>
      </xdr:blipFill>
      <xdr:spPr>
        <a:xfrm>
          <a:off x="2175423" y="22980696"/>
          <a:ext cx="1890690" cy="1903379"/>
        </a:xfrm>
        <a:prstGeom prst="rect">
          <a:avLst/>
        </a:prstGeom>
      </xdr:spPr>
    </xdr:pic>
    <xdr:clientData/>
  </xdr:twoCellAnchor>
  <xdr:twoCellAnchor editAs="oneCell">
    <xdr:from>
      <xdr:col>2</xdr:col>
      <xdr:colOff>226801</xdr:colOff>
      <xdr:row>25</xdr:row>
      <xdr:rowOff>11652</xdr:rowOff>
    </xdr:from>
    <xdr:to>
      <xdr:col>2</xdr:col>
      <xdr:colOff>2295321</xdr:colOff>
      <xdr:row>25</xdr:row>
      <xdr:rowOff>1898445</xdr:rowOff>
    </xdr:to>
    <xdr:pic>
      <xdr:nvPicPr>
        <xdr:cNvPr id="19" name="Picture 18">
          <a:extLst>
            <a:ext uri="{FF2B5EF4-FFF2-40B4-BE49-F238E27FC236}">
              <a16:creationId xmlns:a16="http://schemas.microsoft.com/office/drawing/2014/main" id="{DD23A51A-58E2-954F-B13A-FBB630BFF801}"/>
            </a:ext>
          </a:extLst>
        </xdr:cNvPr>
        <xdr:cNvPicPr>
          <a:picLocks noChangeAspect="1"/>
        </xdr:cNvPicPr>
      </xdr:nvPicPr>
      <xdr:blipFill rotWithShape="1">
        <a:blip xmlns:r="http://schemas.openxmlformats.org/officeDocument/2006/relationships" r:embed="rId18"/>
        <a:srcRect l="24034" r="23888"/>
        <a:stretch/>
      </xdr:blipFill>
      <xdr:spPr>
        <a:xfrm>
          <a:off x="2182601" y="26808652"/>
          <a:ext cx="2068520" cy="1886793"/>
        </a:xfrm>
        <a:prstGeom prst="rect">
          <a:avLst/>
        </a:prstGeom>
      </xdr:spPr>
    </xdr:pic>
    <xdr:clientData/>
  </xdr:twoCellAnchor>
  <xdr:twoCellAnchor editAs="oneCell">
    <xdr:from>
      <xdr:col>2</xdr:col>
      <xdr:colOff>38979</xdr:colOff>
      <xdr:row>24</xdr:row>
      <xdr:rowOff>209727</xdr:rowOff>
    </xdr:from>
    <xdr:to>
      <xdr:col>2</xdr:col>
      <xdr:colOff>2458438</xdr:colOff>
      <xdr:row>24</xdr:row>
      <xdr:rowOff>1787018</xdr:rowOff>
    </xdr:to>
    <xdr:pic>
      <xdr:nvPicPr>
        <xdr:cNvPr id="20" name="Picture 19">
          <a:extLst>
            <a:ext uri="{FF2B5EF4-FFF2-40B4-BE49-F238E27FC236}">
              <a16:creationId xmlns:a16="http://schemas.microsoft.com/office/drawing/2014/main" id="{471B0CE6-E2D5-A94E-97CF-C59D052C018E}"/>
            </a:ext>
          </a:extLst>
        </xdr:cNvPr>
        <xdr:cNvPicPr>
          <a:picLocks noChangeAspect="1"/>
        </xdr:cNvPicPr>
      </xdr:nvPicPr>
      <xdr:blipFill rotWithShape="1">
        <a:blip xmlns:r="http://schemas.openxmlformats.org/officeDocument/2006/relationships" r:embed="rId19"/>
        <a:srcRect l="34478" r="34791"/>
        <a:stretch/>
      </xdr:blipFill>
      <xdr:spPr>
        <a:xfrm rot="5400000">
          <a:off x="2415863" y="24667943"/>
          <a:ext cx="1577291" cy="2419459"/>
        </a:xfrm>
        <a:prstGeom prst="rect">
          <a:avLst/>
        </a:prstGeom>
      </xdr:spPr>
    </xdr:pic>
    <xdr:clientData/>
  </xdr:twoCellAnchor>
  <xdr:twoCellAnchor editAs="oneCell">
    <xdr:from>
      <xdr:col>2</xdr:col>
      <xdr:colOff>97176</xdr:colOff>
      <xdr:row>26</xdr:row>
      <xdr:rowOff>11982</xdr:rowOff>
    </xdr:from>
    <xdr:to>
      <xdr:col>2</xdr:col>
      <xdr:colOff>2424966</xdr:colOff>
      <xdr:row>26</xdr:row>
      <xdr:rowOff>2085956</xdr:rowOff>
    </xdr:to>
    <xdr:pic>
      <xdr:nvPicPr>
        <xdr:cNvPr id="21" name="Picture 20">
          <a:extLst>
            <a:ext uri="{FF2B5EF4-FFF2-40B4-BE49-F238E27FC236}">
              <a16:creationId xmlns:a16="http://schemas.microsoft.com/office/drawing/2014/main" id="{035D8803-8D82-6947-825B-179F55DBCF7E}"/>
            </a:ext>
          </a:extLst>
        </xdr:cNvPr>
        <xdr:cNvPicPr>
          <a:picLocks noChangeAspect="1"/>
        </xdr:cNvPicPr>
      </xdr:nvPicPr>
      <xdr:blipFill rotWithShape="1">
        <a:blip xmlns:r="http://schemas.openxmlformats.org/officeDocument/2006/relationships" r:embed="rId20"/>
        <a:srcRect l="28993" r="28158"/>
        <a:stretch/>
      </xdr:blipFill>
      <xdr:spPr>
        <a:xfrm rot="5400000">
          <a:off x="2179884" y="28599774"/>
          <a:ext cx="2073974" cy="2327790"/>
        </a:xfrm>
        <a:prstGeom prst="rect">
          <a:avLst/>
        </a:prstGeom>
      </xdr:spPr>
    </xdr:pic>
    <xdr:clientData/>
  </xdr:twoCellAnchor>
  <xdr:twoCellAnchor editAs="oneCell">
    <xdr:from>
      <xdr:col>2</xdr:col>
      <xdr:colOff>0</xdr:colOff>
      <xdr:row>11</xdr:row>
      <xdr:rowOff>67734</xdr:rowOff>
    </xdr:from>
    <xdr:to>
      <xdr:col>2</xdr:col>
      <xdr:colOff>2437740</xdr:colOff>
      <xdr:row>11</xdr:row>
      <xdr:rowOff>1032934</xdr:rowOff>
    </xdr:to>
    <xdr:pic>
      <xdr:nvPicPr>
        <xdr:cNvPr id="22" name="Picture 21">
          <a:extLst>
            <a:ext uri="{FF2B5EF4-FFF2-40B4-BE49-F238E27FC236}">
              <a16:creationId xmlns:a16="http://schemas.microsoft.com/office/drawing/2014/main" id="{CDB962FE-4696-E24A-87FB-1488DC291400}"/>
            </a:ext>
          </a:extLst>
        </xdr:cNvPr>
        <xdr:cNvPicPr>
          <a:picLocks noChangeAspect="1"/>
        </xdr:cNvPicPr>
      </xdr:nvPicPr>
      <xdr:blipFill rotWithShape="1">
        <a:blip xmlns:r="http://schemas.openxmlformats.org/officeDocument/2006/relationships" r:embed="rId21"/>
        <a:srcRect l="44009" t="23670" r="10240" b="20195"/>
        <a:stretch/>
      </xdr:blipFill>
      <xdr:spPr>
        <a:xfrm>
          <a:off x="1955800" y="7560734"/>
          <a:ext cx="2437740" cy="965200"/>
        </a:xfrm>
        <a:prstGeom prst="rect">
          <a:avLst/>
        </a:prstGeom>
      </xdr:spPr>
    </xdr:pic>
    <xdr:clientData/>
  </xdr:twoCellAnchor>
  <xdr:twoCellAnchor editAs="oneCell">
    <xdr:from>
      <xdr:col>2</xdr:col>
      <xdr:colOff>265814</xdr:colOff>
      <xdr:row>10</xdr:row>
      <xdr:rowOff>88606</xdr:rowOff>
    </xdr:from>
    <xdr:to>
      <xdr:col>2</xdr:col>
      <xdr:colOff>2229883</xdr:colOff>
      <xdr:row>10</xdr:row>
      <xdr:rowOff>989420</xdr:rowOff>
    </xdr:to>
    <xdr:pic>
      <xdr:nvPicPr>
        <xdr:cNvPr id="23" name="Picture 22">
          <a:extLst>
            <a:ext uri="{FF2B5EF4-FFF2-40B4-BE49-F238E27FC236}">
              <a16:creationId xmlns:a16="http://schemas.microsoft.com/office/drawing/2014/main" id="{B3B8EFA3-5C4D-3A44-BD17-5D9B451C33F5}"/>
            </a:ext>
          </a:extLst>
        </xdr:cNvPr>
        <xdr:cNvPicPr>
          <a:picLocks noChangeAspect="1"/>
        </xdr:cNvPicPr>
      </xdr:nvPicPr>
      <xdr:blipFill rotWithShape="1">
        <a:blip xmlns:r="http://schemas.openxmlformats.org/officeDocument/2006/relationships" r:embed="rId22"/>
        <a:srcRect l="32207" t="23491" r="32001" b="24872"/>
        <a:stretch/>
      </xdr:blipFill>
      <xdr:spPr>
        <a:xfrm>
          <a:off x="2221614" y="6527506"/>
          <a:ext cx="1964069" cy="900814"/>
        </a:xfrm>
        <a:prstGeom prst="rect">
          <a:avLst/>
        </a:prstGeom>
      </xdr:spPr>
    </xdr:pic>
    <xdr:clientData/>
  </xdr:twoCellAnchor>
  <xdr:twoCellAnchor>
    <xdr:from>
      <xdr:col>5</xdr:col>
      <xdr:colOff>19050</xdr:colOff>
      <xdr:row>45</xdr:row>
      <xdr:rowOff>19050</xdr:rowOff>
    </xdr:from>
    <xdr:to>
      <xdr:col>13</xdr:col>
      <xdr:colOff>508000</xdr:colOff>
      <xdr:row>63</xdr:row>
      <xdr:rowOff>25400</xdr:rowOff>
    </xdr:to>
    <xdr:graphicFrame macro="">
      <xdr:nvGraphicFramePr>
        <xdr:cNvPr id="24" name="Chart 23">
          <a:extLst>
            <a:ext uri="{FF2B5EF4-FFF2-40B4-BE49-F238E27FC236}">
              <a16:creationId xmlns:a16="http://schemas.microsoft.com/office/drawing/2014/main" id="{BC4D489A-85B1-2E3B-140F-D6503405E4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797067</xdr:colOff>
      <xdr:row>5</xdr:row>
      <xdr:rowOff>31152</xdr:rowOff>
    </xdr:from>
    <xdr:to>
      <xdr:col>2</xdr:col>
      <xdr:colOff>1541132</xdr:colOff>
      <xdr:row>5</xdr:row>
      <xdr:rowOff>858238</xdr:rowOff>
    </xdr:to>
    <xdr:pic>
      <xdr:nvPicPr>
        <xdr:cNvPr id="2" name="Picture 1">
          <a:extLst>
            <a:ext uri="{FF2B5EF4-FFF2-40B4-BE49-F238E27FC236}">
              <a16:creationId xmlns:a16="http://schemas.microsoft.com/office/drawing/2014/main" id="{CA4FE263-038F-D94A-99DF-033050497725}"/>
            </a:ext>
          </a:extLst>
        </xdr:cNvPr>
        <xdr:cNvPicPr>
          <a:picLocks noChangeAspect="1"/>
        </xdr:cNvPicPr>
      </xdr:nvPicPr>
      <xdr:blipFill rotWithShape="1">
        <a:blip xmlns:r="http://schemas.openxmlformats.org/officeDocument/2006/relationships" r:embed="rId1"/>
        <a:srcRect l="51079" t="18605" r="20177" b="18270"/>
        <a:stretch/>
      </xdr:blipFill>
      <xdr:spPr>
        <a:xfrm>
          <a:off x="2755621" y="1408260"/>
          <a:ext cx="744065" cy="827086"/>
        </a:xfrm>
        <a:prstGeom prst="rect">
          <a:avLst/>
        </a:prstGeom>
      </xdr:spPr>
    </xdr:pic>
    <xdr:clientData/>
  </xdr:twoCellAnchor>
  <xdr:twoCellAnchor editAs="oneCell">
    <xdr:from>
      <xdr:col>2</xdr:col>
      <xdr:colOff>590780</xdr:colOff>
      <xdr:row>6</xdr:row>
      <xdr:rowOff>43022</xdr:rowOff>
    </xdr:from>
    <xdr:to>
      <xdr:col>2</xdr:col>
      <xdr:colOff>1901985</xdr:colOff>
      <xdr:row>6</xdr:row>
      <xdr:rowOff>813394</xdr:rowOff>
    </xdr:to>
    <xdr:pic>
      <xdr:nvPicPr>
        <xdr:cNvPr id="3" name="Picture 2">
          <a:extLst>
            <a:ext uri="{FF2B5EF4-FFF2-40B4-BE49-F238E27FC236}">
              <a16:creationId xmlns:a16="http://schemas.microsoft.com/office/drawing/2014/main" id="{50C91BEE-F915-6E43-AD1B-B2016E34A648}"/>
            </a:ext>
          </a:extLst>
        </xdr:cNvPr>
        <xdr:cNvPicPr>
          <a:picLocks noChangeAspect="1"/>
        </xdr:cNvPicPr>
      </xdr:nvPicPr>
      <xdr:blipFill rotWithShape="1">
        <a:blip xmlns:r="http://schemas.openxmlformats.org/officeDocument/2006/relationships" r:embed="rId2"/>
        <a:srcRect l="24334" t="17786" r="24183" b="20611"/>
        <a:stretch/>
      </xdr:blipFill>
      <xdr:spPr>
        <a:xfrm>
          <a:off x="2549334" y="2261697"/>
          <a:ext cx="1311205" cy="770372"/>
        </a:xfrm>
        <a:prstGeom prst="rect">
          <a:avLst/>
        </a:prstGeom>
      </xdr:spPr>
    </xdr:pic>
    <xdr:clientData/>
  </xdr:twoCellAnchor>
  <xdr:twoCellAnchor editAs="oneCell">
    <xdr:from>
      <xdr:col>2</xdr:col>
      <xdr:colOff>657112</xdr:colOff>
      <xdr:row>7</xdr:row>
      <xdr:rowOff>35384</xdr:rowOff>
    </xdr:from>
    <xdr:to>
      <xdr:col>2</xdr:col>
      <xdr:colOff>1831014</xdr:colOff>
      <xdr:row>7</xdr:row>
      <xdr:rowOff>1243831</xdr:rowOff>
    </xdr:to>
    <xdr:pic>
      <xdr:nvPicPr>
        <xdr:cNvPr id="4" name="Picture 3">
          <a:extLst>
            <a:ext uri="{FF2B5EF4-FFF2-40B4-BE49-F238E27FC236}">
              <a16:creationId xmlns:a16="http://schemas.microsoft.com/office/drawing/2014/main" id="{16218E1B-3738-AA43-9EB7-703E93952A1D}"/>
            </a:ext>
          </a:extLst>
        </xdr:cNvPr>
        <xdr:cNvPicPr>
          <a:picLocks noChangeAspect="1"/>
        </xdr:cNvPicPr>
      </xdr:nvPicPr>
      <xdr:blipFill rotWithShape="1">
        <a:blip xmlns:r="http://schemas.openxmlformats.org/officeDocument/2006/relationships" r:embed="rId3"/>
        <a:srcRect l="31216" t="3970" r="28300" b="11664"/>
        <a:stretch/>
      </xdr:blipFill>
      <xdr:spPr>
        <a:xfrm>
          <a:off x="2612912" y="3273884"/>
          <a:ext cx="1173902" cy="1208447"/>
        </a:xfrm>
        <a:prstGeom prst="rect">
          <a:avLst/>
        </a:prstGeom>
      </xdr:spPr>
    </xdr:pic>
    <xdr:clientData/>
  </xdr:twoCellAnchor>
  <xdr:twoCellAnchor editAs="oneCell">
    <xdr:from>
      <xdr:col>2</xdr:col>
      <xdr:colOff>542998</xdr:colOff>
      <xdr:row>8</xdr:row>
      <xdr:rowOff>36027</xdr:rowOff>
    </xdr:from>
    <xdr:to>
      <xdr:col>2</xdr:col>
      <xdr:colOff>1965808</xdr:colOff>
      <xdr:row>8</xdr:row>
      <xdr:rowOff>945744</xdr:rowOff>
    </xdr:to>
    <xdr:pic>
      <xdr:nvPicPr>
        <xdr:cNvPr id="5" name="Picture 4">
          <a:extLst>
            <a:ext uri="{FF2B5EF4-FFF2-40B4-BE49-F238E27FC236}">
              <a16:creationId xmlns:a16="http://schemas.microsoft.com/office/drawing/2014/main" id="{AF14EE30-764E-DA49-8552-8203450A6FEE}"/>
            </a:ext>
          </a:extLst>
        </xdr:cNvPr>
        <xdr:cNvPicPr>
          <a:picLocks noChangeAspect="1"/>
        </xdr:cNvPicPr>
      </xdr:nvPicPr>
      <xdr:blipFill rotWithShape="1">
        <a:blip xmlns:r="http://schemas.openxmlformats.org/officeDocument/2006/relationships" r:embed="rId4"/>
        <a:srcRect l="24799" t="12969" r="22820" b="18880"/>
        <a:stretch/>
      </xdr:blipFill>
      <xdr:spPr>
        <a:xfrm>
          <a:off x="2498798" y="4544527"/>
          <a:ext cx="1422810" cy="909717"/>
        </a:xfrm>
        <a:prstGeom prst="rect">
          <a:avLst/>
        </a:prstGeom>
      </xdr:spPr>
    </xdr:pic>
    <xdr:clientData/>
  </xdr:twoCellAnchor>
  <xdr:twoCellAnchor editAs="oneCell">
    <xdr:from>
      <xdr:col>2</xdr:col>
      <xdr:colOff>478868</xdr:colOff>
      <xdr:row>9</xdr:row>
      <xdr:rowOff>16929</xdr:rowOff>
    </xdr:from>
    <xdr:to>
      <xdr:col>2</xdr:col>
      <xdr:colOff>2038824</xdr:colOff>
      <xdr:row>9</xdr:row>
      <xdr:rowOff>962674</xdr:rowOff>
    </xdr:to>
    <xdr:pic>
      <xdr:nvPicPr>
        <xdr:cNvPr id="6" name="Picture 5">
          <a:extLst>
            <a:ext uri="{FF2B5EF4-FFF2-40B4-BE49-F238E27FC236}">
              <a16:creationId xmlns:a16="http://schemas.microsoft.com/office/drawing/2014/main" id="{D194E548-79CA-3148-9B62-D4E7E45CACFA}"/>
            </a:ext>
          </a:extLst>
        </xdr:cNvPr>
        <xdr:cNvPicPr>
          <a:picLocks noChangeAspect="1"/>
        </xdr:cNvPicPr>
      </xdr:nvPicPr>
      <xdr:blipFill rotWithShape="1">
        <a:blip xmlns:r="http://schemas.openxmlformats.org/officeDocument/2006/relationships" r:embed="rId5"/>
        <a:srcRect l="24452" t="16979" r="23747" b="19115"/>
        <a:stretch/>
      </xdr:blipFill>
      <xdr:spPr>
        <a:xfrm>
          <a:off x="2434668" y="5528729"/>
          <a:ext cx="1559956" cy="945745"/>
        </a:xfrm>
        <a:prstGeom prst="rect">
          <a:avLst/>
        </a:prstGeom>
      </xdr:spPr>
    </xdr:pic>
    <xdr:clientData/>
  </xdr:twoCellAnchor>
  <xdr:twoCellAnchor editAs="oneCell">
    <xdr:from>
      <xdr:col>2</xdr:col>
      <xdr:colOff>476157</xdr:colOff>
      <xdr:row>12</xdr:row>
      <xdr:rowOff>21144</xdr:rowOff>
    </xdr:from>
    <xdr:to>
      <xdr:col>2</xdr:col>
      <xdr:colOff>1935306</xdr:colOff>
      <xdr:row>13</xdr:row>
      <xdr:rowOff>4075</xdr:rowOff>
    </xdr:to>
    <xdr:pic>
      <xdr:nvPicPr>
        <xdr:cNvPr id="7" name="Picture 6">
          <a:extLst>
            <a:ext uri="{FF2B5EF4-FFF2-40B4-BE49-F238E27FC236}">
              <a16:creationId xmlns:a16="http://schemas.microsoft.com/office/drawing/2014/main" id="{E6334AFA-DED5-CB48-850B-BBC88D6C1394}"/>
            </a:ext>
          </a:extLst>
        </xdr:cNvPr>
        <xdr:cNvPicPr>
          <a:picLocks noChangeAspect="1"/>
        </xdr:cNvPicPr>
      </xdr:nvPicPr>
      <xdr:blipFill rotWithShape="1">
        <a:blip xmlns:r="http://schemas.openxmlformats.org/officeDocument/2006/relationships" r:embed="rId6"/>
        <a:srcRect l="14370" t="8254" r="27572"/>
        <a:stretch/>
      </xdr:blipFill>
      <xdr:spPr>
        <a:xfrm>
          <a:off x="2431957" y="8695244"/>
          <a:ext cx="1459149" cy="1138632"/>
        </a:xfrm>
        <a:prstGeom prst="rect">
          <a:avLst/>
        </a:prstGeom>
      </xdr:spPr>
    </xdr:pic>
    <xdr:clientData/>
  </xdr:twoCellAnchor>
  <xdr:twoCellAnchor editAs="oneCell">
    <xdr:from>
      <xdr:col>2</xdr:col>
      <xdr:colOff>368255</xdr:colOff>
      <xdr:row>13</xdr:row>
      <xdr:rowOff>27095</xdr:rowOff>
    </xdr:from>
    <xdr:to>
      <xdr:col>2</xdr:col>
      <xdr:colOff>1914341</xdr:colOff>
      <xdr:row>14</xdr:row>
      <xdr:rowOff>1427</xdr:rowOff>
    </xdr:to>
    <xdr:pic>
      <xdr:nvPicPr>
        <xdr:cNvPr id="8" name="Picture 7">
          <a:extLst>
            <a:ext uri="{FF2B5EF4-FFF2-40B4-BE49-F238E27FC236}">
              <a16:creationId xmlns:a16="http://schemas.microsoft.com/office/drawing/2014/main" id="{FFC6D435-B653-BE42-BB4C-9F701A73FF10}"/>
            </a:ext>
          </a:extLst>
        </xdr:cNvPr>
        <xdr:cNvPicPr>
          <a:picLocks noChangeAspect="1"/>
        </xdr:cNvPicPr>
      </xdr:nvPicPr>
      <xdr:blipFill rotWithShape="1">
        <a:blip xmlns:r="http://schemas.openxmlformats.org/officeDocument/2006/relationships" r:embed="rId7"/>
        <a:srcRect l="23977" t="10733" r="22775" b="10826"/>
        <a:stretch/>
      </xdr:blipFill>
      <xdr:spPr>
        <a:xfrm>
          <a:off x="2324055" y="9856895"/>
          <a:ext cx="1546086" cy="1130031"/>
        </a:xfrm>
        <a:prstGeom prst="rect">
          <a:avLst/>
        </a:prstGeom>
      </xdr:spPr>
    </xdr:pic>
    <xdr:clientData/>
  </xdr:twoCellAnchor>
  <xdr:twoCellAnchor editAs="oneCell">
    <xdr:from>
      <xdr:col>2</xdr:col>
      <xdr:colOff>432109</xdr:colOff>
      <xdr:row>14</xdr:row>
      <xdr:rowOff>42680</xdr:rowOff>
    </xdr:from>
    <xdr:to>
      <xdr:col>2</xdr:col>
      <xdr:colOff>1972091</xdr:colOff>
      <xdr:row>14</xdr:row>
      <xdr:rowOff>859897</xdr:rowOff>
    </xdr:to>
    <xdr:pic>
      <xdr:nvPicPr>
        <xdr:cNvPr id="9" name="Picture 8">
          <a:extLst>
            <a:ext uri="{FF2B5EF4-FFF2-40B4-BE49-F238E27FC236}">
              <a16:creationId xmlns:a16="http://schemas.microsoft.com/office/drawing/2014/main" id="{1AE72EED-69CA-2541-86A3-047BCD559CDD}"/>
            </a:ext>
          </a:extLst>
        </xdr:cNvPr>
        <xdr:cNvPicPr>
          <a:picLocks noChangeAspect="1"/>
        </xdr:cNvPicPr>
      </xdr:nvPicPr>
      <xdr:blipFill rotWithShape="1">
        <a:blip xmlns:r="http://schemas.openxmlformats.org/officeDocument/2006/relationships" r:embed="rId8"/>
        <a:srcRect l="22876" t="23709" r="23842" b="18753"/>
        <a:stretch/>
      </xdr:blipFill>
      <xdr:spPr>
        <a:xfrm>
          <a:off x="2387909" y="11028180"/>
          <a:ext cx="1539982" cy="817217"/>
        </a:xfrm>
        <a:prstGeom prst="rect">
          <a:avLst/>
        </a:prstGeom>
      </xdr:spPr>
    </xdr:pic>
    <xdr:clientData/>
  </xdr:twoCellAnchor>
  <xdr:twoCellAnchor editAs="oneCell">
    <xdr:from>
      <xdr:col>2</xdr:col>
      <xdr:colOff>324082</xdr:colOff>
      <xdr:row>15</xdr:row>
      <xdr:rowOff>108938</xdr:rowOff>
    </xdr:from>
    <xdr:to>
      <xdr:col>2</xdr:col>
      <xdr:colOff>2000328</xdr:colOff>
      <xdr:row>15</xdr:row>
      <xdr:rowOff>1235375</xdr:rowOff>
    </xdr:to>
    <xdr:pic>
      <xdr:nvPicPr>
        <xdr:cNvPr id="10" name="Picture 9">
          <a:extLst>
            <a:ext uri="{FF2B5EF4-FFF2-40B4-BE49-F238E27FC236}">
              <a16:creationId xmlns:a16="http://schemas.microsoft.com/office/drawing/2014/main" id="{1C96DC05-0172-764A-83E0-76BE304BD1FE}"/>
            </a:ext>
          </a:extLst>
        </xdr:cNvPr>
        <xdr:cNvPicPr>
          <a:picLocks noChangeAspect="1"/>
        </xdr:cNvPicPr>
      </xdr:nvPicPr>
      <xdr:blipFill rotWithShape="1">
        <a:blip xmlns:r="http://schemas.openxmlformats.org/officeDocument/2006/relationships" r:embed="rId9"/>
        <a:srcRect l="22876" t="19083" r="23842" b="8056"/>
        <a:stretch/>
      </xdr:blipFill>
      <xdr:spPr>
        <a:xfrm>
          <a:off x="2279882" y="11970738"/>
          <a:ext cx="1676246" cy="1126437"/>
        </a:xfrm>
        <a:prstGeom prst="rect">
          <a:avLst/>
        </a:prstGeom>
      </xdr:spPr>
    </xdr:pic>
    <xdr:clientData/>
  </xdr:twoCellAnchor>
  <xdr:twoCellAnchor editAs="oneCell">
    <xdr:from>
      <xdr:col>2</xdr:col>
      <xdr:colOff>372404</xdr:colOff>
      <xdr:row>16</xdr:row>
      <xdr:rowOff>9548</xdr:rowOff>
    </xdr:from>
    <xdr:to>
      <xdr:col>2</xdr:col>
      <xdr:colOff>1904999</xdr:colOff>
      <xdr:row>16</xdr:row>
      <xdr:rowOff>840300</xdr:rowOff>
    </xdr:to>
    <xdr:pic>
      <xdr:nvPicPr>
        <xdr:cNvPr id="11" name="Picture 10">
          <a:extLst>
            <a:ext uri="{FF2B5EF4-FFF2-40B4-BE49-F238E27FC236}">
              <a16:creationId xmlns:a16="http://schemas.microsoft.com/office/drawing/2014/main" id="{ACCC6441-F169-074F-A418-CF26F0AEFB17}"/>
            </a:ext>
          </a:extLst>
        </xdr:cNvPr>
        <xdr:cNvPicPr>
          <a:picLocks noChangeAspect="1"/>
        </xdr:cNvPicPr>
      </xdr:nvPicPr>
      <xdr:blipFill rotWithShape="1">
        <a:blip xmlns:r="http://schemas.openxmlformats.org/officeDocument/2006/relationships" r:embed="rId10"/>
        <a:srcRect l="23588" t="21500" r="23829" b="20500"/>
        <a:stretch/>
      </xdr:blipFill>
      <xdr:spPr>
        <a:xfrm>
          <a:off x="2328204" y="13166748"/>
          <a:ext cx="1532595" cy="830752"/>
        </a:xfrm>
        <a:prstGeom prst="rect">
          <a:avLst/>
        </a:prstGeom>
      </xdr:spPr>
    </xdr:pic>
    <xdr:clientData/>
  </xdr:twoCellAnchor>
  <xdr:twoCellAnchor editAs="oneCell">
    <xdr:from>
      <xdr:col>2</xdr:col>
      <xdr:colOff>448797</xdr:colOff>
      <xdr:row>17</xdr:row>
      <xdr:rowOff>40558</xdr:rowOff>
    </xdr:from>
    <xdr:to>
      <xdr:col>2</xdr:col>
      <xdr:colOff>1928872</xdr:colOff>
      <xdr:row>17</xdr:row>
      <xdr:rowOff>1470526</xdr:rowOff>
    </xdr:to>
    <xdr:pic>
      <xdr:nvPicPr>
        <xdr:cNvPr id="12" name="Picture 11">
          <a:extLst>
            <a:ext uri="{FF2B5EF4-FFF2-40B4-BE49-F238E27FC236}">
              <a16:creationId xmlns:a16="http://schemas.microsoft.com/office/drawing/2014/main" id="{F2E4B0E0-76FE-5E46-8CB0-D36BD2E3499F}"/>
            </a:ext>
          </a:extLst>
        </xdr:cNvPr>
        <xdr:cNvPicPr>
          <a:picLocks noChangeAspect="1"/>
        </xdr:cNvPicPr>
      </xdr:nvPicPr>
      <xdr:blipFill rotWithShape="1">
        <a:blip xmlns:r="http://schemas.openxmlformats.org/officeDocument/2006/relationships" r:embed="rId11"/>
        <a:srcRect l="26414" t="3999" r="26409" b="3250"/>
        <a:stretch/>
      </xdr:blipFill>
      <xdr:spPr>
        <a:xfrm>
          <a:off x="2404597" y="14099458"/>
          <a:ext cx="1480075" cy="1429968"/>
        </a:xfrm>
        <a:prstGeom prst="rect">
          <a:avLst/>
        </a:prstGeom>
      </xdr:spPr>
    </xdr:pic>
    <xdr:clientData/>
  </xdr:twoCellAnchor>
  <xdr:twoCellAnchor editAs="oneCell">
    <xdr:from>
      <xdr:col>2</xdr:col>
      <xdr:colOff>563383</xdr:colOff>
      <xdr:row>18</xdr:row>
      <xdr:rowOff>63977</xdr:rowOff>
    </xdr:from>
    <xdr:to>
      <xdr:col>2</xdr:col>
      <xdr:colOff>1986166</xdr:colOff>
      <xdr:row>18</xdr:row>
      <xdr:rowOff>1165120</xdr:rowOff>
    </xdr:to>
    <xdr:pic>
      <xdr:nvPicPr>
        <xdr:cNvPr id="13" name="Picture 12">
          <a:extLst>
            <a:ext uri="{FF2B5EF4-FFF2-40B4-BE49-F238E27FC236}">
              <a16:creationId xmlns:a16="http://schemas.microsoft.com/office/drawing/2014/main" id="{5856DF5C-9E3D-6B45-8741-AC363E05BD96}"/>
            </a:ext>
          </a:extLst>
        </xdr:cNvPr>
        <xdr:cNvPicPr>
          <a:picLocks noChangeAspect="1"/>
        </xdr:cNvPicPr>
      </xdr:nvPicPr>
      <xdr:blipFill rotWithShape="1">
        <a:blip xmlns:r="http://schemas.openxmlformats.org/officeDocument/2006/relationships" r:embed="rId12"/>
        <a:srcRect l="27151" t="14250" r="26655" b="13000"/>
        <a:stretch/>
      </xdr:blipFill>
      <xdr:spPr>
        <a:xfrm>
          <a:off x="2519183" y="15608777"/>
          <a:ext cx="1422783" cy="1101143"/>
        </a:xfrm>
        <a:prstGeom prst="rect">
          <a:avLst/>
        </a:prstGeom>
      </xdr:spPr>
    </xdr:pic>
    <xdr:clientData/>
  </xdr:twoCellAnchor>
  <xdr:twoCellAnchor editAs="oneCell">
    <xdr:from>
      <xdr:col>2</xdr:col>
      <xdr:colOff>334210</xdr:colOff>
      <xdr:row>19</xdr:row>
      <xdr:rowOff>9548</xdr:rowOff>
    </xdr:from>
    <xdr:to>
      <xdr:col>2</xdr:col>
      <xdr:colOff>2140563</xdr:colOff>
      <xdr:row>19</xdr:row>
      <xdr:rowOff>1164963</xdr:rowOff>
    </xdr:to>
    <xdr:pic>
      <xdr:nvPicPr>
        <xdr:cNvPr id="14" name="Picture 13">
          <a:extLst>
            <a:ext uri="{FF2B5EF4-FFF2-40B4-BE49-F238E27FC236}">
              <a16:creationId xmlns:a16="http://schemas.microsoft.com/office/drawing/2014/main" id="{3A0A31AD-5347-8B49-844A-D013C91741C1}"/>
            </a:ext>
          </a:extLst>
        </xdr:cNvPr>
        <xdr:cNvPicPr>
          <a:picLocks noChangeAspect="1"/>
        </xdr:cNvPicPr>
      </xdr:nvPicPr>
      <xdr:blipFill rotWithShape="1">
        <a:blip xmlns:r="http://schemas.openxmlformats.org/officeDocument/2006/relationships" r:embed="rId13"/>
        <a:srcRect l="21622" t="15500" r="23829" b="13499"/>
        <a:stretch/>
      </xdr:blipFill>
      <xdr:spPr>
        <a:xfrm>
          <a:off x="2290010" y="16735448"/>
          <a:ext cx="1806353" cy="1155415"/>
        </a:xfrm>
        <a:prstGeom prst="rect">
          <a:avLst/>
        </a:prstGeom>
      </xdr:spPr>
    </xdr:pic>
    <xdr:clientData/>
  </xdr:twoCellAnchor>
  <xdr:twoCellAnchor editAs="oneCell">
    <xdr:from>
      <xdr:col>2</xdr:col>
      <xdr:colOff>563382</xdr:colOff>
      <xdr:row>20</xdr:row>
      <xdr:rowOff>17948</xdr:rowOff>
    </xdr:from>
    <xdr:to>
      <xdr:col>2</xdr:col>
      <xdr:colOff>1938419</xdr:colOff>
      <xdr:row>20</xdr:row>
      <xdr:rowOff>1205807</xdr:rowOff>
    </xdr:to>
    <xdr:pic>
      <xdr:nvPicPr>
        <xdr:cNvPr id="15" name="Picture 14">
          <a:extLst>
            <a:ext uri="{FF2B5EF4-FFF2-40B4-BE49-F238E27FC236}">
              <a16:creationId xmlns:a16="http://schemas.microsoft.com/office/drawing/2014/main" id="{59746CFA-CBF5-934F-94BF-FB9551A02450}"/>
            </a:ext>
          </a:extLst>
        </xdr:cNvPr>
        <xdr:cNvPicPr>
          <a:picLocks noChangeAspect="1"/>
        </xdr:cNvPicPr>
      </xdr:nvPicPr>
      <xdr:blipFill rotWithShape="1">
        <a:blip xmlns:r="http://schemas.openxmlformats.org/officeDocument/2006/relationships" r:embed="rId14"/>
        <a:srcRect l="26660" t="6750" r="26409" b="10750"/>
        <a:stretch/>
      </xdr:blipFill>
      <xdr:spPr>
        <a:xfrm>
          <a:off x="2519182" y="17950348"/>
          <a:ext cx="1375037" cy="1187859"/>
        </a:xfrm>
        <a:prstGeom prst="rect">
          <a:avLst/>
        </a:prstGeom>
      </xdr:spPr>
    </xdr:pic>
    <xdr:clientData/>
  </xdr:twoCellAnchor>
  <xdr:twoCellAnchor editAs="oneCell">
    <xdr:from>
      <xdr:col>2</xdr:col>
      <xdr:colOff>276918</xdr:colOff>
      <xdr:row>21</xdr:row>
      <xdr:rowOff>28646</xdr:rowOff>
    </xdr:from>
    <xdr:to>
      <xdr:col>2</xdr:col>
      <xdr:colOff>2186049</xdr:colOff>
      <xdr:row>21</xdr:row>
      <xdr:rowOff>1699698</xdr:rowOff>
    </xdr:to>
    <xdr:pic>
      <xdr:nvPicPr>
        <xdr:cNvPr id="16" name="Picture 15">
          <a:extLst>
            <a:ext uri="{FF2B5EF4-FFF2-40B4-BE49-F238E27FC236}">
              <a16:creationId xmlns:a16="http://schemas.microsoft.com/office/drawing/2014/main" id="{645402F2-110D-0A46-8293-153BED9559E6}"/>
            </a:ext>
          </a:extLst>
        </xdr:cNvPr>
        <xdr:cNvPicPr>
          <a:picLocks noChangeAspect="1"/>
        </xdr:cNvPicPr>
      </xdr:nvPicPr>
      <xdr:blipFill rotWithShape="1">
        <a:blip xmlns:r="http://schemas.openxmlformats.org/officeDocument/2006/relationships" r:embed="rId15"/>
        <a:srcRect l="24080" t="3250" r="23706" b="3749"/>
        <a:stretch/>
      </xdr:blipFill>
      <xdr:spPr>
        <a:xfrm>
          <a:off x="2232718" y="19256446"/>
          <a:ext cx="1909131" cy="1671052"/>
        </a:xfrm>
        <a:prstGeom prst="rect">
          <a:avLst/>
        </a:prstGeom>
      </xdr:spPr>
    </xdr:pic>
    <xdr:clientData/>
  </xdr:twoCellAnchor>
  <xdr:twoCellAnchor editAs="oneCell">
    <xdr:from>
      <xdr:col>2</xdr:col>
      <xdr:colOff>209980</xdr:colOff>
      <xdr:row>22</xdr:row>
      <xdr:rowOff>165196</xdr:rowOff>
    </xdr:from>
    <xdr:to>
      <xdr:col>2</xdr:col>
      <xdr:colOff>2100656</xdr:colOff>
      <xdr:row>22</xdr:row>
      <xdr:rowOff>1895781</xdr:rowOff>
    </xdr:to>
    <xdr:pic>
      <xdr:nvPicPr>
        <xdr:cNvPr id="17" name="Picture 16">
          <a:extLst>
            <a:ext uri="{FF2B5EF4-FFF2-40B4-BE49-F238E27FC236}">
              <a16:creationId xmlns:a16="http://schemas.microsoft.com/office/drawing/2014/main" id="{DA604369-B8C7-E647-A1E6-587B029D1A89}"/>
            </a:ext>
          </a:extLst>
        </xdr:cNvPr>
        <xdr:cNvPicPr>
          <a:picLocks noChangeAspect="1"/>
        </xdr:cNvPicPr>
      </xdr:nvPicPr>
      <xdr:blipFill rotWithShape="1">
        <a:blip xmlns:r="http://schemas.openxmlformats.org/officeDocument/2006/relationships" r:embed="rId16"/>
        <a:srcRect l="23097" r="23215"/>
        <a:stretch/>
      </xdr:blipFill>
      <xdr:spPr>
        <a:xfrm>
          <a:off x="2165780" y="21132896"/>
          <a:ext cx="1890676" cy="1730585"/>
        </a:xfrm>
        <a:prstGeom prst="rect">
          <a:avLst/>
        </a:prstGeom>
      </xdr:spPr>
    </xdr:pic>
    <xdr:clientData/>
  </xdr:twoCellAnchor>
  <xdr:twoCellAnchor editAs="oneCell">
    <xdr:from>
      <xdr:col>2</xdr:col>
      <xdr:colOff>219623</xdr:colOff>
      <xdr:row>23</xdr:row>
      <xdr:rowOff>19096</xdr:rowOff>
    </xdr:from>
    <xdr:to>
      <xdr:col>2</xdr:col>
      <xdr:colOff>2110313</xdr:colOff>
      <xdr:row>24</xdr:row>
      <xdr:rowOff>4775</xdr:rowOff>
    </xdr:to>
    <xdr:pic>
      <xdr:nvPicPr>
        <xdr:cNvPr id="18" name="Picture 17">
          <a:extLst>
            <a:ext uri="{FF2B5EF4-FFF2-40B4-BE49-F238E27FC236}">
              <a16:creationId xmlns:a16="http://schemas.microsoft.com/office/drawing/2014/main" id="{1B7122ED-C1BD-1A4C-A8AF-DFA21BF92A1C}"/>
            </a:ext>
          </a:extLst>
        </xdr:cNvPr>
        <xdr:cNvPicPr>
          <a:picLocks noChangeAspect="1"/>
        </xdr:cNvPicPr>
      </xdr:nvPicPr>
      <xdr:blipFill rotWithShape="1">
        <a:blip xmlns:r="http://schemas.openxmlformats.org/officeDocument/2006/relationships" r:embed="rId17"/>
        <a:srcRect l="25186" r="25672"/>
        <a:stretch/>
      </xdr:blipFill>
      <xdr:spPr>
        <a:xfrm>
          <a:off x="2175423" y="23107696"/>
          <a:ext cx="1890690" cy="1903379"/>
        </a:xfrm>
        <a:prstGeom prst="rect">
          <a:avLst/>
        </a:prstGeom>
      </xdr:spPr>
    </xdr:pic>
    <xdr:clientData/>
  </xdr:twoCellAnchor>
  <xdr:twoCellAnchor editAs="oneCell">
    <xdr:from>
      <xdr:col>2</xdr:col>
      <xdr:colOff>226801</xdr:colOff>
      <xdr:row>25</xdr:row>
      <xdr:rowOff>11652</xdr:rowOff>
    </xdr:from>
    <xdr:to>
      <xdr:col>2</xdr:col>
      <xdr:colOff>2295321</xdr:colOff>
      <xdr:row>25</xdr:row>
      <xdr:rowOff>1898445</xdr:rowOff>
    </xdr:to>
    <xdr:pic>
      <xdr:nvPicPr>
        <xdr:cNvPr id="19" name="Picture 18">
          <a:extLst>
            <a:ext uri="{FF2B5EF4-FFF2-40B4-BE49-F238E27FC236}">
              <a16:creationId xmlns:a16="http://schemas.microsoft.com/office/drawing/2014/main" id="{0639EAA3-9BF5-804F-8020-DD241682462B}"/>
            </a:ext>
          </a:extLst>
        </xdr:cNvPr>
        <xdr:cNvPicPr>
          <a:picLocks noChangeAspect="1"/>
        </xdr:cNvPicPr>
      </xdr:nvPicPr>
      <xdr:blipFill rotWithShape="1">
        <a:blip xmlns:r="http://schemas.openxmlformats.org/officeDocument/2006/relationships" r:embed="rId18"/>
        <a:srcRect l="24034" r="23888"/>
        <a:stretch/>
      </xdr:blipFill>
      <xdr:spPr>
        <a:xfrm>
          <a:off x="2182601" y="26935652"/>
          <a:ext cx="2068520" cy="1886793"/>
        </a:xfrm>
        <a:prstGeom prst="rect">
          <a:avLst/>
        </a:prstGeom>
      </xdr:spPr>
    </xdr:pic>
    <xdr:clientData/>
  </xdr:twoCellAnchor>
  <xdr:twoCellAnchor editAs="oneCell">
    <xdr:from>
      <xdr:col>2</xdr:col>
      <xdr:colOff>38979</xdr:colOff>
      <xdr:row>24</xdr:row>
      <xdr:rowOff>209727</xdr:rowOff>
    </xdr:from>
    <xdr:to>
      <xdr:col>2</xdr:col>
      <xdr:colOff>2458438</xdr:colOff>
      <xdr:row>24</xdr:row>
      <xdr:rowOff>1787018</xdr:rowOff>
    </xdr:to>
    <xdr:pic>
      <xdr:nvPicPr>
        <xdr:cNvPr id="20" name="Picture 19">
          <a:extLst>
            <a:ext uri="{FF2B5EF4-FFF2-40B4-BE49-F238E27FC236}">
              <a16:creationId xmlns:a16="http://schemas.microsoft.com/office/drawing/2014/main" id="{EE7A0826-378F-BA4D-AE8E-D8FF27FCE52A}"/>
            </a:ext>
          </a:extLst>
        </xdr:cNvPr>
        <xdr:cNvPicPr>
          <a:picLocks noChangeAspect="1"/>
        </xdr:cNvPicPr>
      </xdr:nvPicPr>
      <xdr:blipFill rotWithShape="1">
        <a:blip xmlns:r="http://schemas.openxmlformats.org/officeDocument/2006/relationships" r:embed="rId19"/>
        <a:srcRect l="34478" r="34791"/>
        <a:stretch/>
      </xdr:blipFill>
      <xdr:spPr>
        <a:xfrm rot="5400000">
          <a:off x="2415863" y="24794943"/>
          <a:ext cx="1577291" cy="2419459"/>
        </a:xfrm>
        <a:prstGeom prst="rect">
          <a:avLst/>
        </a:prstGeom>
      </xdr:spPr>
    </xdr:pic>
    <xdr:clientData/>
  </xdr:twoCellAnchor>
  <xdr:twoCellAnchor editAs="oneCell">
    <xdr:from>
      <xdr:col>2</xdr:col>
      <xdr:colOff>97176</xdr:colOff>
      <xdr:row>26</xdr:row>
      <xdr:rowOff>11982</xdr:rowOff>
    </xdr:from>
    <xdr:to>
      <xdr:col>2</xdr:col>
      <xdr:colOff>2424966</xdr:colOff>
      <xdr:row>26</xdr:row>
      <xdr:rowOff>2085956</xdr:rowOff>
    </xdr:to>
    <xdr:pic>
      <xdr:nvPicPr>
        <xdr:cNvPr id="21" name="Picture 20">
          <a:extLst>
            <a:ext uri="{FF2B5EF4-FFF2-40B4-BE49-F238E27FC236}">
              <a16:creationId xmlns:a16="http://schemas.microsoft.com/office/drawing/2014/main" id="{9C700F5C-2345-B142-B4FA-54902B5B7925}"/>
            </a:ext>
          </a:extLst>
        </xdr:cNvPr>
        <xdr:cNvPicPr>
          <a:picLocks noChangeAspect="1"/>
        </xdr:cNvPicPr>
      </xdr:nvPicPr>
      <xdr:blipFill rotWithShape="1">
        <a:blip xmlns:r="http://schemas.openxmlformats.org/officeDocument/2006/relationships" r:embed="rId20"/>
        <a:srcRect l="28993" r="28158"/>
        <a:stretch/>
      </xdr:blipFill>
      <xdr:spPr>
        <a:xfrm rot="5400000">
          <a:off x="2179884" y="28726774"/>
          <a:ext cx="2073974" cy="2327790"/>
        </a:xfrm>
        <a:prstGeom prst="rect">
          <a:avLst/>
        </a:prstGeom>
      </xdr:spPr>
    </xdr:pic>
    <xdr:clientData/>
  </xdr:twoCellAnchor>
  <xdr:twoCellAnchor editAs="oneCell">
    <xdr:from>
      <xdr:col>2</xdr:col>
      <xdr:colOff>0</xdr:colOff>
      <xdr:row>11</xdr:row>
      <xdr:rowOff>67734</xdr:rowOff>
    </xdr:from>
    <xdr:to>
      <xdr:col>2</xdr:col>
      <xdr:colOff>2437740</xdr:colOff>
      <xdr:row>11</xdr:row>
      <xdr:rowOff>1032934</xdr:rowOff>
    </xdr:to>
    <xdr:pic>
      <xdr:nvPicPr>
        <xdr:cNvPr id="22" name="Picture 21">
          <a:extLst>
            <a:ext uri="{FF2B5EF4-FFF2-40B4-BE49-F238E27FC236}">
              <a16:creationId xmlns:a16="http://schemas.microsoft.com/office/drawing/2014/main" id="{C8BAB4C1-0DC3-9348-AF92-4324A6DABA05}"/>
            </a:ext>
          </a:extLst>
        </xdr:cNvPr>
        <xdr:cNvPicPr>
          <a:picLocks noChangeAspect="1"/>
        </xdr:cNvPicPr>
      </xdr:nvPicPr>
      <xdr:blipFill rotWithShape="1">
        <a:blip xmlns:r="http://schemas.openxmlformats.org/officeDocument/2006/relationships" r:embed="rId21"/>
        <a:srcRect l="44009" t="23670" r="10240" b="20195"/>
        <a:stretch/>
      </xdr:blipFill>
      <xdr:spPr>
        <a:xfrm>
          <a:off x="1955800" y="7687734"/>
          <a:ext cx="2437740" cy="965200"/>
        </a:xfrm>
        <a:prstGeom prst="rect">
          <a:avLst/>
        </a:prstGeom>
      </xdr:spPr>
    </xdr:pic>
    <xdr:clientData/>
  </xdr:twoCellAnchor>
  <xdr:twoCellAnchor editAs="oneCell">
    <xdr:from>
      <xdr:col>2</xdr:col>
      <xdr:colOff>265814</xdr:colOff>
      <xdr:row>10</xdr:row>
      <xdr:rowOff>88606</xdr:rowOff>
    </xdr:from>
    <xdr:to>
      <xdr:col>2</xdr:col>
      <xdr:colOff>2229883</xdr:colOff>
      <xdr:row>10</xdr:row>
      <xdr:rowOff>989420</xdr:rowOff>
    </xdr:to>
    <xdr:pic>
      <xdr:nvPicPr>
        <xdr:cNvPr id="23" name="Picture 22">
          <a:extLst>
            <a:ext uri="{FF2B5EF4-FFF2-40B4-BE49-F238E27FC236}">
              <a16:creationId xmlns:a16="http://schemas.microsoft.com/office/drawing/2014/main" id="{A3096522-A0D8-B142-815A-6074151E218C}"/>
            </a:ext>
          </a:extLst>
        </xdr:cNvPr>
        <xdr:cNvPicPr>
          <a:picLocks noChangeAspect="1"/>
        </xdr:cNvPicPr>
      </xdr:nvPicPr>
      <xdr:blipFill rotWithShape="1">
        <a:blip xmlns:r="http://schemas.openxmlformats.org/officeDocument/2006/relationships" r:embed="rId22"/>
        <a:srcRect l="32207" t="23491" r="32001" b="24872"/>
        <a:stretch/>
      </xdr:blipFill>
      <xdr:spPr>
        <a:xfrm>
          <a:off x="2221614" y="6654506"/>
          <a:ext cx="1964069" cy="900814"/>
        </a:xfrm>
        <a:prstGeom prst="rect">
          <a:avLst/>
        </a:prstGeom>
      </xdr:spPr>
    </xdr:pic>
    <xdr:clientData/>
  </xdr:twoCellAnchor>
  <xdr:twoCellAnchor>
    <xdr:from>
      <xdr:col>5</xdr:col>
      <xdr:colOff>19050</xdr:colOff>
      <xdr:row>45</xdr:row>
      <xdr:rowOff>19050</xdr:rowOff>
    </xdr:from>
    <xdr:to>
      <xdr:col>13</xdr:col>
      <xdr:colOff>508000</xdr:colOff>
      <xdr:row>63</xdr:row>
      <xdr:rowOff>25400</xdr:rowOff>
    </xdr:to>
    <xdr:graphicFrame macro="">
      <xdr:nvGraphicFramePr>
        <xdr:cNvPr id="24" name="Chart 23">
          <a:extLst>
            <a:ext uri="{FF2B5EF4-FFF2-40B4-BE49-F238E27FC236}">
              <a16:creationId xmlns:a16="http://schemas.microsoft.com/office/drawing/2014/main" id="{49100CFC-1824-FF42-B80B-5C018C9154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797067</xdr:colOff>
      <xdr:row>5</xdr:row>
      <xdr:rowOff>31152</xdr:rowOff>
    </xdr:from>
    <xdr:to>
      <xdr:col>2</xdr:col>
      <xdr:colOff>1541132</xdr:colOff>
      <xdr:row>5</xdr:row>
      <xdr:rowOff>858238</xdr:rowOff>
    </xdr:to>
    <xdr:pic>
      <xdr:nvPicPr>
        <xdr:cNvPr id="2" name="Picture 1">
          <a:extLst>
            <a:ext uri="{FF2B5EF4-FFF2-40B4-BE49-F238E27FC236}">
              <a16:creationId xmlns:a16="http://schemas.microsoft.com/office/drawing/2014/main" id="{6E2D08CC-FBF7-A945-8805-85561FFCAA5A}"/>
            </a:ext>
          </a:extLst>
        </xdr:cNvPr>
        <xdr:cNvPicPr>
          <a:picLocks noChangeAspect="1"/>
        </xdr:cNvPicPr>
      </xdr:nvPicPr>
      <xdr:blipFill rotWithShape="1">
        <a:blip xmlns:r="http://schemas.openxmlformats.org/officeDocument/2006/relationships" r:embed="rId1"/>
        <a:srcRect l="51079" t="18605" r="20177" b="18270"/>
        <a:stretch/>
      </xdr:blipFill>
      <xdr:spPr>
        <a:xfrm>
          <a:off x="2752867" y="1390052"/>
          <a:ext cx="744065" cy="827086"/>
        </a:xfrm>
        <a:prstGeom prst="rect">
          <a:avLst/>
        </a:prstGeom>
      </xdr:spPr>
    </xdr:pic>
    <xdr:clientData/>
  </xdr:twoCellAnchor>
  <xdr:twoCellAnchor editAs="oneCell">
    <xdr:from>
      <xdr:col>2</xdr:col>
      <xdr:colOff>590780</xdr:colOff>
      <xdr:row>6</xdr:row>
      <xdr:rowOff>43022</xdr:rowOff>
    </xdr:from>
    <xdr:to>
      <xdr:col>2</xdr:col>
      <xdr:colOff>1901985</xdr:colOff>
      <xdr:row>6</xdr:row>
      <xdr:rowOff>813394</xdr:rowOff>
    </xdr:to>
    <xdr:pic>
      <xdr:nvPicPr>
        <xdr:cNvPr id="3" name="Picture 2">
          <a:extLst>
            <a:ext uri="{FF2B5EF4-FFF2-40B4-BE49-F238E27FC236}">
              <a16:creationId xmlns:a16="http://schemas.microsoft.com/office/drawing/2014/main" id="{FDEBEA12-4633-4644-9FDB-50ABBB7C327B}"/>
            </a:ext>
          </a:extLst>
        </xdr:cNvPr>
        <xdr:cNvPicPr>
          <a:picLocks noChangeAspect="1"/>
        </xdr:cNvPicPr>
      </xdr:nvPicPr>
      <xdr:blipFill rotWithShape="1">
        <a:blip xmlns:r="http://schemas.openxmlformats.org/officeDocument/2006/relationships" r:embed="rId2"/>
        <a:srcRect l="24334" t="17786" r="24183" b="20611"/>
        <a:stretch/>
      </xdr:blipFill>
      <xdr:spPr>
        <a:xfrm>
          <a:off x="2546580" y="2367122"/>
          <a:ext cx="1311205" cy="770372"/>
        </a:xfrm>
        <a:prstGeom prst="rect">
          <a:avLst/>
        </a:prstGeom>
      </xdr:spPr>
    </xdr:pic>
    <xdr:clientData/>
  </xdr:twoCellAnchor>
  <xdr:twoCellAnchor editAs="oneCell">
    <xdr:from>
      <xdr:col>2</xdr:col>
      <xdr:colOff>657112</xdr:colOff>
      <xdr:row>7</xdr:row>
      <xdr:rowOff>35384</xdr:rowOff>
    </xdr:from>
    <xdr:to>
      <xdr:col>2</xdr:col>
      <xdr:colOff>1831014</xdr:colOff>
      <xdr:row>7</xdr:row>
      <xdr:rowOff>1243831</xdr:rowOff>
    </xdr:to>
    <xdr:pic>
      <xdr:nvPicPr>
        <xdr:cNvPr id="4" name="Picture 3">
          <a:extLst>
            <a:ext uri="{FF2B5EF4-FFF2-40B4-BE49-F238E27FC236}">
              <a16:creationId xmlns:a16="http://schemas.microsoft.com/office/drawing/2014/main" id="{447F7B6B-8B2C-E74C-B121-F71EE465663C}"/>
            </a:ext>
          </a:extLst>
        </xdr:cNvPr>
        <xdr:cNvPicPr>
          <a:picLocks noChangeAspect="1"/>
        </xdr:cNvPicPr>
      </xdr:nvPicPr>
      <xdr:blipFill rotWithShape="1">
        <a:blip xmlns:r="http://schemas.openxmlformats.org/officeDocument/2006/relationships" r:embed="rId3"/>
        <a:srcRect l="31216" t="3970" r="28300" b="11664"/>
        <a:stretch/>
      </xdr:blipFill>
      <xdr:spPr>
        <a:xfrm>
          <a:off x="2612912" y="3400884"/>
          <a:ext cx="1173902" cy="1208447"/>
        </a:xfrm>
        <a:prstGeom prst="rect">
          <a:avLst/>
        </a:prstGeom>
      </xdr:spPr>
    </xdr:pic>
    <xdr:clientData/>
  </xdr:twoCellAnchor>
  <xdr:twoCellAnchor editAs="oneCell">
    <xdr:from>
      <xdr:col>2</xdr:col>
      <xdr:colOff>542998</xdr:colOff>
      <xdr:row>8</xdr:row>
      <xdr:rowOff>36027</xdr:rowOff>
    </xdr:from>
    <xdr:to>
      <xdr:col>2</xdr:col>
      <xdr:colOff>1965808</xdr:colOff>
      <xdr:row>8</xdr:row>
      <xdr:rowOff>945744</xdr:rowOff>
    </xdr:to>
    <xdr:pic>
      <xdr:nvPicPr>
        <xdr:cNvPr id="5" name="Picture 4">
          <a:extLst>
            <a:ext uri="{FF2B5EF4-FFF2-40B4-BE49-F238E27FC236}">
              <a16:creationId xmlns:a16="http://schemas.microsoft.com/office/drawing/2014/main" id="{D6F8AA75-FB6C-0D48-ACB8-3ED5F5564523}"/>
            </a:ext>
          </a:extLst>
        </xdr:cNvPr>
        <xdr:cNvPicPr>
          <a:picLocks noChangeAspect="1"/>
        </xdr:cNvPicPr>
      </xdr:nvPicPr>
      <xdr:blipFill rotWithShape="1">
        <a:blip xmlns:r="http://schemas.openxmlformats.org/officeDocument/2006/relationships" r:embed="rId4"/>
        <a:srcRect l="24799" t="12969" r="22820" b="18880"/>
        <a:stretch/>
      </xdr:blipFill>
      <xdr:spPr>
        <a:xfrm>
          <a:off x="2498798" y="4671527"/>
          <a:ext cx="1422810" cy="909717"/>
        </a:xfrm>
        <a:prstGeom prst="rect">
          <a:avLst/>
        </a:prstGeom>
      </xdr:spPr>
    </xdr:pic>
    <xdr:clientData/>
  </xdr:twoCellAnchor>
  <xdr:twoCellAnchor editAs="oneCell">
    <xdr:from>
      <xdr:col>2</xdr:col>
      <xdr:colOff>478868</xdr:colOff>
      <xdr:row>9</xdr:row>
      <xdr:rowOff>16929</xdr:rowOff>
    </xdr:from>
    <xdr:to>
      <xdr:col>2</xdr:col>
      <xdr:colOff>2038824</xdr:colOff>
      <xdr:row>9</xdr:row>
      <xdr:rowOff>962674</xdr:rowOff>
    </xdr:to>
    <xdr:pic>
      <xdr:nvPicPr>
        <xdr:cNvPr id="6" name="Picture 5">
          <a:extLst>
            <a:ext uri="{FF2B5EF4-FFF2-40B4-BE49-F238E27FC236}">
              <a16:creationId xmlns:a16="http://schemas.microsoft.com/office/drawing/2014/main" id="{6FA20847-ABBC-4445-916D-AF7C67838332}"/>
            </a:ext>
          </a:extLst>
        </xdr:cNvPr>
        <xdr:cNvPicPr>
          <a:picLocks noChangeAspect="1"/>
        </xdr:cNvPicPr>
      </xdr:nvPicPr>
      <xdr:blipFill rotWithShape="1">
        <a:blip xmlns:r="http://schemas.openxmlformats.org/officeDocument/2006/relationships" r:embed="rId5"/>
        <a:srcRect l="24452" t="16979" r="23747" b="19115"/>
        <a:stretch/>
      </xdr:blipFill>
      <xdr:spPr>
        <a:xfrm>
          <a:off x="2434668" y="5655729"/>
          <a:ext cx="1559956" cy="945745"/>
        </a:xfrm>
        <a:prstGeom prst="rect">
          <a:avLst/>
        </a:prstGeom>
      </xdr:spPr>
    </xdr:pic>
    <xdr:clientData/>
  </xdr:twoCellAnchor>
  <xdr:twoCellAnchor editAs="oneCell">
    <xdr:from>
      <xdr:col>2</xdr:col>
      <xdr:colOff>476157</xdr:colOff>
      <xdr:row>12</xdr:row>
      <xdr:rowOff>21144</xdr:rowOff>
    </xdr:from>
    <xdr:to>
      <xdr:col>2</xdr:col>
      <xdr:colOff>1935306</xdr:colOff>
      <xdr:row>13</xdr:row>
      <xdr:rowOff>4075</xdr:rowOff>
    </xdr:to>
    <xdr:pic>
      <xdr:nvPicPr>
        <xdr:cNvPr id="7" name="Picture 6">
          <a:extLst>
            <a:ext uri="{FF2B5EF4-FFF2-40B4-BE49-F238E27FC236}">
              <a16:creationId xmlns:a16="http://schemas.microsoft.com/office/drawing/2014/main" id="{5BF06817-D0DA-E543-8168-766C4D6D9F64}"/>
            </a:ext>
          </a:extLst>
        </xdr:cNvPr>
        <xdr:cNvPicPr>
          <a:picLocks noChangeAspect="1"/>
        </xdr:cNvPicPr>
      </xdr:nvPicPr>
      <xdr:blipFill rotWithShape="1">
        <a:blip xmlns:r="http://schemas.openxmlformats.org/officeDocument/2006/relationships" r:embed="rId6"/>
        <a:srcRect l="14370" t="8254" r="27572"/>
        <a:stretch/>
      </xdr:blipFill>
      <xdr:spPr>
        <a:xfrm>
          <a:off x="2431957" y="8822244"/>
          <a:ext cx="1459149" cy="1138631"/>
        </a:xfrm>
        <a:prstGeom prst="rect">
          <a:avLst/>
        </a:prstGeom>
      </xdr:spPr>
    </xdr:pic>
    <xdr:clientData/>
  </xdr:twoCellAnchor>
  <xdr:twoCellAnchor editAs="oneCell">
    <xdr:from>
      <xdr:col>2</xdr:col>
      <xdr:colOff>368255</xdr:colOff>
      <xdr:row>13</xdr:row>
      <xdr:rowOff>27095</xdr:rowOff>
    </xdr:from>
    <xdr:to>
      <xdr:col>2</xdr:col>
      <xdr:colOff>1914341</xdr:colOff>
      <xdr:row>14</xdr:row>
      <xdr:rowOff>1427</xdr:rowOff>
    </xdr:to>
    <xdr:pic>
      <xdr:nvPicPr>
        <xdr:cNvPr id="8" name="Picture 7">
          <a:extLst>
            <a:ext uri="{FF2B5EF4-FFF2-40B4-BE49-F238E27FC236}">
              <a16:creationId xmlns:a16="http://schemas.microsoft.com/office/drawing/2014/main" id="{3D38C814-9FD6-B545-8CE5-0F80D618B6B1}"/>
            </a:ext>
          </a:extLst>
        </xdr:cNvPr>
        <xdr:cNvPicPr>
          <a:picLocks noChangeAspect="1"/>
        </xdr:cNvPicPr>
      </xdr:nvPicPr>
      <xdr:blipFill rotWithShape="1">
        <a:blip xmlns:r="http://schemas.openxmlformats.org/officeDocument/2006/relationships" r:embed="rId7"/>
        <a:srcRect l="23977" t="10733" r="22775" b="10826"/>
        <a:stretch/>
      </xdr:blipFill>
      <xdr:spPr>
        <a:xfrm>
          <a:off x="2324055" y="9983895"/>
          <a:ext cx="1546086" cy="1130032"/>
        </a:xfrm>
        <a:prstGeom prst="rect">
          <a:avLst/>
        </a:prstGeom>
      </xdr:spPr>
    </xdr:pic>
    <xdr:clientData/>
  </xdr:twoCellAnchor>
  <xdr:twoCellAnchor editAs="oneCell">
    <xdr:from>
      <xdr:col>2</xdr:col>
      <xdr:colOff>432109</xdr:colOff>
      <xdr:row>14</xdr:row>
      <xdr:rowOff>42680</xdr:rowOff>
    </xdr:from>
    <xdr:to>
      <xdr:col>2</xdr:col>
      <xdr:colOff>1972091</xdr:colOff>
      <xdr:row>14</xdr:row>
      <xdr:rowOff>859897</xdr:rowOff>
    </xdr:to>
    <xdr:pic>
      <xdr:nvPicPr>
        <xdr:cNvPr id="9" name="Picture 8">
          <a:extLst>
            <a:ext uri="{FF2B5EF4-FFF2-40B4-BE49-F238E27FC236}">
              <a16:creationId xmlns:a16="http://schemas.microsoft.com/office/drawing/2014/main" id="{01166DD8-802D-7045-92B2-87EA1F49D9E3}"/>
            </a:ext>
          </a:extLst>
        </xdr:cNvPr>
        <xdr:cNvPicPr>
          <a:picLocks noChangeAspect="1"/>
        </xdr:cNvPicPr>
      </xdr:nvPicPr>
      <xdr:blipFill rotWithShape="1">
        <a:blip xmlns:r="http://schemas.openxmlformats.org/officeDocument/2006/relationships" r:embed="rId8"/>
        <a:srcRect l="22876" t="23709" r="23842" b="18753"/>
        <a:stretch/>
      </xdr:blipFill>
      <xdr:spPr>
        <a:xfrm>
          <a:off x="2387909" y="11155180"/>
          <a:ext cx="1539982" cy="817217"/>
        </a:xfrm>
        <a:prstGeom prst="rect">
          <a:avLst/>
        </a:prstGeom>
      </xdr:spPr>
    </xdr:pic>
    <xdr:clientData/>
  </xdr:twoCellAnchor>
  <xdr:twoCellAnchor editAs="oneCell">
    <xdr:from>
      <xdr:col>2</xdr:col>
      <xdr:colOff>324082</xdr:colOff>
      <xdr:row>15</xdr:row>
      <xdr:rowOff>108938</xdr:rowOff>
    </xdr:from>
    <xdr:to>
      <xdr:col>2</xdr:col>
      <xdr:colOff>2000328</xdr:colOff>
      <xdr:row>15</xdr:row>
      <xdr:rowOff>1235375</xdr:rowOff>
    </xdr:to>
    <xdr:pic>
      <xdr:nvPicPr>
        <xdr:cNvPr id="10" name="Picture 9">
          <a:extLst>
            <a:ext uri="{FF2B5EF4-FFF2-40B4-BE49-F238E27FC236}">
              <a16:creationId xmlns:a16="http://schemas.microsoft.com/office/drawing/2014/main" id="{C4AE82FA-B7AE-1D4F-8ED1-BE17A7F1EA1D}"/>
            </a:ext>
          </a:extLst>
        </xdr:cNvPr>
        <xdr:cNvPicPr>
          <a:picLocks noChangeAspect="1"/>
        </xdr:cNvPicPr>
      </xdr:nvPicPr>
      <xdr:blipFill rotWithShape="1">
        <a:blip xmlns:r="http://schemas.openxmlformats.org/officeDocument/2006/relationships" r:embed="rId9"/>
        <a:srcRect l="22876" t="19083" r="23842" b="8056"/>
        <a:stretch/>
      </xdr:blipFill>
      <xdr:spPr>
        <a:xfrm>
          <a:off x="2279882" y="12097738"/>
          <a:ext cx="1676246" cy="1126437"/>
        </a:xfrm>
        <a:prstGeom prst="rect">
          <a:avLst/>
        </a:prstGeom>
      </xdr:spPr>
    </xdr:pic>
    <xdr:clientData/>
  </xdr:twoCellAnchor>
  <xdr:twoCellAnchor editAs="oneCell">
    <xdr:from>
      <xdr:col>2</xdr:col>
      <xdr:colOff>372404</xdr:colOff>
      <xdr:row>16</xdr:row>
      <xdr:rowOff>9548</xdr:rowOff>
    </xdr:from>
    <xdr:to>
      <xdr:col>2</xdr:col>
      <xdr:colOff>1904999</xdr:colOff>
      <xdr:row>16</xdr:row>
      <xdr:rowOff>840300</xdr:rowOff>
    </xdr:to>
    <xdr:pic>
      <xdr:nvPicPr>
        <xdr:cNvPr id="11" name="Picture 10">
          <a:extLst>
            <a:ext uri="{FF2B5EF4-FFF2-40B4-BE49-F238E27FC236}">
              <a16:creationId xmlns:a16="http://schemas.microsoft.com/office/drawing/2014/main" id="{C1569657-0E9A-9E4A-92FE-B3A44D0AA14F}"/>
            </a:ext>
          </a:extLst>
        </xdr:cNvPr>
        <xdr:cNvPicPr>
          <a:picLocks noChangeAspect="1"/>
        </xdr:cNvPicPr>
      </xdr:nvPicPr>
      <xdr:blipFill rotWithShape="1">
        <a:blip xmlns:r="http://schemas.openxmlformats.org/officeDocument/2006/relationships" r:embed="rId10"/>
        <a:srcRect l="23588" t="21500" r="23829" b="20500"/>
        <a:stretch/>
      </xdr:blipFill>
      <xdr:spPr>
        <a:xfrm>
          <a:off x="2328204" y="13293748"/>
          <a:ext cx="1532595" cy="830752"/>
        </a:xfrm>
        <a:prstGeom prst="rect">
          <a:avLst/>
        </a:prstGeom>
      </xdr:spPr>
    </xdr:pic>
    <xdr:clientData/>
  </xdr:twoCellAnchor>
  <xdr:twoCellAnchor editAs="oneCell">
    <xdr:from>
      <xdr:col>2</xdr:col>
      <xdr:colOff>448797</xdr:colOff>
      <xdr:row>17</xdr:row>
      <xdr:rowOff>40558</xdr:rowOff>
    </xdr:from>
    <xdr:to>
      <xdr:col>2</xdr:col>
      <xdr:colOff>1928872</xdr:colOff>
      <xdr:row>17</xdr:row>
      <xdr:rowOff>1470526</xdr:rowOff>
    </xdr:to>
    <xdr:pic>
      <xdr:nvPicPr>
        <xdr:cNvPr id="12" name="Picture 11">
          <a:extLst>
            <a:ext uri="{FF2B5EF4-FFF2-40B4-BE49-F238E27FC236}">
              <a16:creationId xmlns:a16="http://schemas.microsoft.com/office/drawing/2014/main" id="{FF352EA7-FDD7-5D48-AFA4-3126F7369F33}"/>
            </a:ext>
          </a:extLst>
        </xdr:cNvPr>
        <xdr:cNvPicPr>
          <a:picLocks noChangeAspect="1"/>
        </xdr:cNvPicPr>
      </xdr:nvPicPr>
      <xdr:blipFill rotWithShape="1">
        <a:blip xmlns:r="http://schemas.openxmlformats.org/officeDocument/2006/relationships" r:embed="rId11"/>
        <a:srcRect l="26414" t="3999" r="26409" b="3250"/>
        <a:stretch/>
      </xdr:blipFill>
      <xdr:spPr>
        <a:xfrm>
          <a:off x="2404597" y="14226458"/>
          <a:ext cx="1480075" cy="1429968"/>
        </a:xfrm>
        <a:prstGeom prst="rect">
          <a:avLst/>
        </a:prstGeom>
      </xdr:spPr>
    </xdr:pic>
    <xdr:clientData/>
  </xdr:twoCellAnchor>
  <xdr:twoCellAnchor editAs="oneCell">
    <xdr:from>
      <xdr:col>2</xdr:col>
      <xdr:colOff>563383</xdr:colOff>
      <xdr:row>18</xdr:row>
      <xdr:rowOff>63977</xdr:rowOff>
    </xdr:from>
    <xdr:to>
      <xdr:col>2</xdr:col>
      <xdr:colOff>1986166</xdr:colOff>
      <xdr:row>18</xdr:row>
      <xdr:rowOff>1165120</xdr:rowOff>
    </xdr:to>
    <xdr:pic>
      <xdr:nvPicPr>
        <xdr:cNvPr id="13" name="Picture 12">
          <a:extLst>
            <a:ext uri="{FF2B5EF4-FFF2-40B4-BE49-F238E27FC236}">
              <a16:creationId xmlns:a16="http://schemas.microsoft.com/office/drawing/2014/main" id="{65712EEC-2FF4-874F-BF5D-622F89FD9E54}"/>
            </a:ext>
          </a:extLst>
        </xdr:cNvPr>
        <xdr:cNvPicPr>
          <a:picLocks noChangeAspect="1"/>
        </xdr:cNvPicPr>
      </xdr:nvPicPr>
      <xdr:blipFill rotWithShape="1">
        <a:blip xmlns:r="http://schemas.openxmlformats.org/officeDocument/2006/relationships" r:embed="rId12"/>
        <a:srcRect l="27151" t="14250" r="26655" b="13000"/>
        <a:stretch/>
      </xdr:blipFill>
      <xdr:spPr>
        <a:xfrm>
          <a:off x="2519183" y="15735777"/>
          <a:ext cx="1422783" cy="1101143"/>
        </a:xfrm>
        <a:prstGeom prst="rect">
          <a:avLst/>
        </a:prstGeom>
      </xdr:spPr>
    </xdr:pic>
    <xdr:clientData/>
  </xdr:twoCellAnchor>
  <xdr:twoCellAnchor editAs="oneCell">
    <xdr:from>
      <xdr:col>2</xdr:col>
      <xdr:colOff>334210</xdr:colOff>
      <xdr:row>19</xdr:row>
      <xdr:rowOff>9548</xdr:rowOff>
    </xdr:from>
    <xdr:to>
      <xdr:col>2</xdr:col>
      <xdr:colOff>2140563</xdr:colOff>
      <xdr:row>19</xdr:row>
      <xdr:rowOff>1164963</xdr:rowOff>
    </xdr:to>
    <xdr:pic>
      <xdr:nvPicPr>
        <xdr:cNvPr id="14" name="Picture 13">
          <a:extLst>
            <a:ext uri="{FF2B5EF4-FFF2-40B4-BE49-F238E27FC236}">
              <a16:creationId xmlns:a16="http://schemas.microsoft.com/office/drawing/2014/main" id="{DEECF120-41B1-4F4F-B37D-1678267362E2}"/>
            </a:ext>
          </a:extLst>
        </xdr:cNvPr>
        <xdr:cNvPicPr>
          <a:picLocks noChangeAspect="1"/>
        </xdr:cNvPicPr>
      </xdr:nvPicPr>
      <xdr:blipFill rotWithShape="1">
        <a:blip xmlns:r="http://schemas.openxmlformats.org/officeDocument/2006/relationships" r:embed="rId13"/>
        <a:srcRect l="21622" t="15500" r="23829" b="13499"/>
        <a:stretch/>
      </xdr:blipFill>
      <xdr:spPr>
        <a:xfrm>
          <a:off x="2290010" y="16862448"/>
          <a:ext cx="1806353" cy="1155415"/>
        </a:xfrm>
        <a:prstGeom prst="rect">
          <a:avLst/>
        </a:prstGeom>
      </xdr:spPr>
    </xdr:pic>
    <xdr:clientData/>
  </xdr:twoCellAnchor>
  <xdr:twoCellAnchor editAs="oneCell">
    <xdr:from>
      <xdr:col>2</xdr:col>
      <xdr:colOff>563382</xdr:colOff>
      <xdr:row>20</xdr:row>
      <xdr:rowOff>17948</xdr:rowOff>
    </xdr:from>
    <xdr:to>
      <xdr:col>2</xdr:col>
      <xdr:colOff>1938419</xdr:colOff>
      <xdr:row>20</xdr:row>
      <xdr:rowOff>1205807</xdr:rowOff>
    </xdr:to>
    <xdr:pic>
      <xdr:nvPicPr>
        <xdr:cNvPr id="15" name="Picture 14">
          <a:extLst>
            <a:ext uri="{FF2B5EF4-FFF2-40B4-BE49-F238E27FC236}">
              <a16:creationId xmlns:a16="http://schemas.microsoft.com/office/drawing/2014/main" id="{9C313B13-68AA-3446-B2B0-B8B2CC5298FC}"/>
            </a:ext>
          </a:extLst>
        </xdr:cNvPr>
        <xdr:cNvPicPr>
          <a:picLocks noChangeAspect="1"/>
        </xdr:cNvPicPr>
      </xdr:nvPicPr>
      <xdr:blipFill rotWithShape="1">
        <a:blip xmlns:r="http://schemas.openxmlformats.org/officeDocument/2006/relationships" r:embed="rId14"/>
        <a:srcRect l="26660" t="6750" r="26409" b="10750"/>
        <a:stretch/>
      </xdr:blipFill>
      <xdr:spPr>
        <a:xfrm>
          <a:off x="2519182" y="18077348"/>
          <a:ext cx="1375037" cy="1187859"/>
        </a:xfrm>
        <a:prstGeom prst="rect">
          <a:avLst/>
        </a:prstGeom>
      </xdr:spPr>
    </xdr:pic>
    <xdr:clientData/>
  </xdr:twoCellAnchor>
  <xdr:twoCellAnchor editAs="oneCell">
    <xdr:from>
      <xdr:col>2</xdr:col>
      <xdr:colOff>276918</xdr:colOff>
      <xdr:row>21</xdr:row>
      <xdr:rowOff>28646</xdr:rowOff>
    </xdr:from>
    <xdr:to>
      <xdr:col>2</xdr:col>
      <xdr:colOff>2186049</xdr:colOff>
      <xdr:row>21</xdr:row>
      <xdr:rowOff>1699698</xdr:rowOff>
    </xdr:to>
    <xdr:pic>
      <xdr:nvPicPr>
        <xdr:cNvPr id="16" name="Picture 15">
          <a:extLst>
            <a:ext uri="{FF2B5EF4-FFF2-40B4-BE49-F238E27FC236}">
              <a16:creationId xmlns:a16="http://schemas.microsoft.com/office/drawing/2014/main" id="{7A9E0AF6-2967-A641-81CD-FC49BCB41AB7}"/>
            </a:ext>
          </a:extLst>
        </xdr:cNvPr>
        <xdr:cNvPicPr>
          <a:picLocks noChangeAspect="1"/>
        </xdr:cNvPicPr>
      </xdr:nvPicPr>
      <xdr:blipFill rotWithShape="1">
        <a:blip xmlns:r="http://schemas.openxmlformats.org/officeDocument/2006/relationships" r:embed="rId15"/>
        <a:srcRect l="24080" t="3250" r="23706" b="3749"/>
        <a:stretch/>
      </xdr:blipFill>
      <xdr:spPr>
        <a:xfrm>
          <a:off x="2232718" y="19383446"/>
          <a:ext cx="1909131" cy="1671052"/>
        </a:xfrm>
        <a:prstGeom prst="rect">
          <a:avLst/>
        </a:prstGeom>
      </xdr:spPr>
    </xdr:pic>
    <xdr:clientData/>
  </xdr:twoCellAnchor>
  <xdr:twoCellAnchor editAs="oneCell">
    <xdr:from>
      <xdr:col>2</xdr:col>
      <xdr:colOff>209980</xdr:colOff>
      <xdr:row>22</xdr:row>
      <xdr:rowOff>165196</xdr:rowOff>
    </xdr:from>
    <xdr:to>
      <xdr:col>2</xdr:col>
      <xdr:colOff>2100656</xdr:colOff>
      <xdr:row>22</xdr:row>
      <xdr:rowOff>1895781</xdr:rowOff>
    </xdr:to>
    <xdr:pic>
      <xdr:nvPicPr>
        <xdr:cNvPr id="17" name="Picture 16">
          <a:extLst>
            <a:ext uri="{FF2B5EF4-FFF2-40B4-BE49-F238E27FC236}">
              <a16:creationId xmlns:a16="http://schemas.microsoft.com/office/drawing/2014/main" id="{E61752E0-D5CD-154E-87D4-0DD361981E43}"/>
            </a:ext>
          </a:extLst>
        </xdr:cNvPr>
        <xdr:cNvPicPr>
          <a:picLocks noChangeAspect="1"/>
        </xdr:cNvPicPr>
      </xdr:nvPicPr>
      <xdr:blipFill rotWithShape="1">
        <a:blip xmlns:r="http://schemas.openxmlformats.org/officeDocument/2006/relationships" r:embed="rId16"/>
        <a:srcRect l="23097" r="23215"/>
        <a:stretch/>
      </xdr:blipFill>
      <xdr:spPr>
        <a:xfrm>
          <a:off x="2165780" y="21259896"/>
          <a:ext cx="1890676" cy="1730585"/>
        </a:xfrm>
        <a:prstGeom prst="rect">
          <a:avLst/>
        </a:prstGeom>
      </xdr:spPr>
    </xdr:pic>
    <xdr:clientData/>
  </xdr:twoCellAnchor>
  <xdr:twoCellAnchor editAs="oneCell">
    <xdr:from>
      <xdr:col>2</xdr:col>
      <xdr:colOff>219623</xdr:colOff>
      <xdr:row>23</xdr:row>
      <xdr:rowOff>19096</xdr:rowOff>
    </xdr:from>
    <xdr:to>
      <xdr:col>2</xdr:col>
      <xdr:colOff>2110313</xdr:colOff>
      <xdr:row>24</xdr:row>
      <xdr:rowOff>4775</xdr:rowOff>
    </xdr:to>
    <xdr:pic>
      <xdr:nvPicPr>
        <xdr:cNvPr id="18" name="Picture 17">
          <a:extLst>
            <a:ext uri="{FF2B5EF4-FFF2-40B4-BE49-F238E27FC236}">
              <a16:creationId xmlns:a16="http://schemas.microsoft.com/office/drawing/2014/main" id="{814B422C-F722-894C-8955-93DD779CBB41}"/>
            </a:ext>
          </a:extLst>
        </xdr:cNvPr>
        <xdr:cNvPicPr>
          <a:picLocks noChangeAspect="1"/>
        </xdr:cNvPicPr>
      </xdr:nvPicPr>
      <xdr:blipFill rotWithShape="1">
        <a:blip xmlns:r="http://schemas.openxmlformats.org/officeDocument/2006/relationships" r:embed="rId17"/>
        <a:srcRect l="25186" r="25672"/>
        <a:stretch/>
      </xdr:blipFill>
      <xdr:spPr>
        <a:xfrm>
          <a:off x="2175423" y="23234696"/>
          <a:ext cx="1890690" cy="1903379"/>
        </a:xfrm>
        <a:prstGeom prst="rect">
          <a:avLst/>
        </a:prstGeom>
      </xdr:spPr>
    </xdr:pic>
    <xdr:clientData/>
  </xdr:twoCellAnchor>
  <xdr:twoCellAnchor editAs="oneCell">
    <xdr:from>
      <xdr:col>2</xdr:col>
      <xdr:colOff>226801</xdr:colOff>
      <xdr:row>25</xdr:row>
      <xdr:rowOff>11652</xdr:rowOff>
    </xdr:from>
    <xdr:to>
      <xdr:col>2</xdr:col>
      <xdr:colOff>2295321</xdr:colOff>
      <xdr:row>25</xdr:row>
      <xdr:rowOff>1898445</xdr:rowOff>
    </xdr:to>
    <xdr:pic>
      <xdr:nvPicPr>
        <xdr:cNvPr id="19" name="Picture 18">
          <a:extLst>
            <a:ext uri="{FF2B5EF4-FFF2-40B4-BE49-F238E27FC236}">
              <a16:creationId xmlns:a16="http://schemas.microsoft.com/office/drawing/2014/main" id="{2C10E1D1-7BA6-2E4E-8EC7-457DFDCC4BF1}"/>
            </a:ext>
          </a:extLst>
        </xdr:cNvPr>
        <xdr:cNvPicPr>
          <a:picLocks noChangeAspect="1"/>
        </xdr:cNvPicPr>
      </xdr:nvPicPr>
      <xdr:blipFill rotWithShape="1">
        <a:blip xmlns:r="http://schemas.openxmlformats.org/officeDocument/2006/relationships" r:embed="rId18"/>
        <a:srcRect l="24034" r="23888"/>
        <a:stretch/>
      </xdr:blipFill>
      <xdr:spPr>
        <a:xfrm>
          <a:off x="2182601" y="27062652"/>
          <a:ext cx="2068520" cy="1886793"/>
        </a:xfrm>
        <a:prstGeom prst="rect">
          <a:avLst/>
        </a:prstGeom>
      </xdr:spPr>
    </xdr:pic>
    <xdr:clientData/>
  </xdr:twoCellAnchor>
  <xdr:twoCellAnchor editAs="oneCell">
    <xdr:from>
      <xdr:col>2</xdr:col>
      <xdr:colOff>38979</xdr:colOff>
      <xdr:row>24</xdr:row>
      <xdr:rowOff>209727</xdr:rowOff>
    </xdr:from>
    <xdr:to>
      <xdr:col>2</xdr:col>
      <xdr:colOff>2458438</xdr:colOff>
      <xdr:row>24</xdr:row>
      <xdr:rowOff>1787018</xdr:rowOff>
    </xdr:to>
    <xdr:pic>
      <xdr:nvPicPr>
        <xdr:cNvPr id="20" name="Picture 19">
          <a:extLst>
            <a:ext uri="{FF2B5EF4-FFF2-40B4-BE49-F238E27FC236}">
              <a16:creationId xmlns:a16="http://schemas.microsoft.com/office/drawing/2014/main" id="{C30C9883-7D27-0D47-BB4B-CDEE4F0CA12D}"/>
            </a:ext>
          </a:extLst>
        </xdr:cNvPr>
        <xdr:cNvPicPr>
          <a:picLocks noChangeAspect="1"/>
        </xdr:cNvPicPr>
      </xdr:nvPicPr>
      <xdr:blipFill rotWithShape="1">
        <a:blip xmlns:r="http://schemas.openxmlformats.org/officeDocument/2006/relationships" r:embed="rId19"/>
        <a:srcRect l="34478" r="34791"/>
        <a:stretch/>
      </xdr:blipFill>
      <xdr:spPr>
        <a:xfrm rot="5400000">
          <a:off x="2415863" y="24921943"/>
          <a:ext cx="1577291" cy="2419459"/>
        </a:xfrm>
        <a:prstGeom prst="rect">
          <a:avLst/>
        </a:prstGeom>
      </xdr:spPr>
    </xdr:pic>
    <xdr:clientData/>
  </xdr:twoCellAnchor>
  <xdr:twoCellAnchor editAs="oneCell">
    <xdr:from>
      <xdr:col>2</xdr:col>
      <xdr:colOff>97176</xdr:colOff>
      <xdr:row>26</xdr:row>
      <xdr:rowOff>11982</xdr:rowOff>
    </xdr:from>
    <xdr:to>
      <xdr:col>2</xdr:col>
      <xdr:colOff>2424966</xdr:colOff>
      <xdr:row>26</xdr:row>
      <xdr:rowOff>2085956</xdr:rowOff>
    </xdr:to>
    <xdr:pic>
      <xdr:nvPicPr>
        <xdr:cNvPr id="21" name="Picture 20">
          <a:extLst>
            <a:ext uri="{FF2B5EF4-FFF2-40B4-BE49-F238E27FC236}">
              <a16:creationId xmlns:a16="http://schemas.microsoft.com/office/drawing/2014/main" id="{24DBE602-8CC7-C74C-96B7-1B3160C8F493}"/>
            </a:ext>
          </a:extLst>
        </xdr:cNvPr>
        <xdr:cNvPicPr>
          <a:picLocks noChangeAspect="1"/>
        </xdr:cNvPicPr>
      </xdr:nvPicPr>
      <xdr:blipFill rotWithShape="1">
        <a:blip xmlns:r="http://schemas.openxmlformats.org/officeDocument/2006/relationships" r:embed="rId20"/>
        <a:srcRect l="28993" r="28158"/>
        <a:stretch/>
      </xdr:blipFill>
      <xdr:spPr>
        <a:xfrm rot="5400000">
          <a:off x="2179884" y="28853774"/>
          <a:ext cx="2073974" cy="2327790"/>
        </a:xfrm>
        <a:prstGeom prst="rect">
          <a:avLst/>
        </a:prstGeom>
      </xdr:spPr>
    </xdr:pic>
    <xdr:clientData/>
  </xdr:twoCellAnchor>
  <xdr:twoCellAnchor editAs="oneCell">
    <xdr:from>
      <xdr:col>2</xdr:col>
      <xdr:colOff>0</xdr:colOff>
      <xdr:row>11</xdr:row>
      <xdr:rowOff>67734</xdr:rowOff>
    </xdr:from>
    <xdr:to>
      <xdr:col>2</xdr:col>
      <xdr:colOff>2437740</xdr:colOff>
      <xdr:row>11</xdr:row>
      <xdr:rowOff>1032934</xdr:rowOff>
    </xdr:to>
    <xdr:pic>
      <xdr:nvPicPr>
        <xdr:cNvPr id="22" name="Picture 21">
          <a:extLst>
            <a:ext uri="{FF2B5EF4-FFF2-40B4-BE49-F238E27FC236}">
              <a16:creationId xmlns:a16="http://schemas.microsoft.com/office/drawing/2014/main" id="{CB21F454-141A-FD4E-9D01-F233067C9142}"/>
            </a:ext>
          </a:extLst>
        </xdr:cNvPr>
        <xdr:cNvPicPr>
          <a:picLocks noChangeAspect="1"/>
        </xdr:cNvPicPr>
      </xdr:nvPicPr>
      <xdr:blipFill rotWithShape="1">
        <a:blip xmlns:r="http://schemas.openxmlformats.org/officeDocument/2006/relationships" r:embed="rId21"/>
        <a:srcRect l="44009" t="23670" r="10240" b="20195"/>
        <a:stretch/>
      </xdr:blipFill>
      <xdr:spPr>
        <a:xfrm>
          <a:off x="1955800" y="7814734"/>
          <a:ext cx="2437740" cy="965200"/>
        </a:xfrm>
        <a:prstGeom prst="rect">
          <a:avLst/>
        </a:prstGeom>
      </xdr:spPr>
    </xdr:pic>
    <xdr:clientData/>
  </xdr:twoCellAnchor>
  <xdr:twoCellAnchor editAs="oneCell">
    <xdr:from>
      <xdr:col>2</xdr:col>
      <xdr:colOff>265814</xdr:colOff>
      <xdr:row>10</xdr:row>
      <xdr:rowOff>88606</xdr:rowOff>
    </xdr:from>
    <xdr:to>
      <xdr:col>2</xdr:col>
      <xdr:colOff>2229883</xdr:colOff>
      <xdr:row>10</xdr:row>
      <xdr:rowOff>989420</xdr:rowOff>
    </xdr:to>
    <xdr:pic>
      <xdr:nvPicPr>
        <xdr:cNvPr id="23" name="Picture 22">
          <a:extLst>
            <a:ext uri="{FF2B5EF4-FFF2-40B4-BE49-F238E27FC236}">
              <a16:creationId xmlns:a16="http://schemas.microsoft.com/office/drawing/2014/main" id="{B663349B-EE7E-F44A-B4F9-B27595A39790}"/>
            </a:ext>
          </a:extLst>
        </xdr:cNvPr>
        <xdr:cNvPicPr>
          <a:picLocks noChangeAspect="1"/>
        </xdr:cNvPicPr>
      </xdr:nvPicPr>
      <xdr:blipFill rotWithShape="1">
        <a:blip xmlns:r="http://schemas.openxmlformats.org/officeDocument/2006/relationships" r:embed="rId22"/>
        <a:srcRect l="32207" t="23491" r="32001" b="24872"/>
        <a:stretch/>
      </xdr:blipFill>
      <xdr:spPr>
        <a:xfrm>
          <a:off x="2221614" y="6781506"/>
          <a:ext cx="1964069" cy="900814"/>
        </a:xfrm>
        <a:prstGeom prst="rect">
          <a:avLst/>
        </a:prstGeom>
      </xdr:spPr>
    </xdr:pic>
    <xdr:clientData/>
  </xdr:twoCellAnchor>
  <xdr:twoCellAnchor>
    <xdr:from>
      <xdr:col>5</xdr:col>
      <xdr:colOff>19050</xdr:colOff>
      <xdr:row>45</xdr:row>
      <xdr:rowOff>19050</xdr:rowOff>
    </xdr:from>
    <xdr:to>
      <xdr:col>13</xdr:col>
      <xdr:colOff>508000</xdr:colOff>
      <xdr:row>63</xdr:row>
      <xdr:rowOff>25400</xdr:rowOff>
    </xdr:to>
    <xdr:graphicFrame macro="">
      <xdr:nvGraphicFramePr>
        <xdr:cNvPr id="24" name="Chart 23">
          <a:extLst>
            <a:ext uri="{FF2B5EF4-FFF2-40B4-BE49-F238E27FC236}">
              <a16:creationId xmlns:a16="http://schemas.microsoft.com/office/drawing/2014/main" id="{73AAA724-05EA-8F4A-B190-9DCA69997B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aslopubs.onlinelibrary.wiley.com/doi/abs/10.4319/lom.2011.9.140"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8" Type="http://schemas.openxmlformats.org/officeDocument/2006/relationships/hyperlink" Target="https://pubchem.ncbi.nlm.nih.gov/compound/9171" TargetMode="External"/><Relationship Id="rId13" Type="http://schemas.openxmlformats.org/officeDocument/2006/relationships/hyperlink" Target="https://pubchem.ncbi.nlm.nih.gov/compound/2336" TargetMode="External"/><Relationship Id="rId18" Type="http://schemas.openxmlformats.org/officeDocument/2006/relationships/hyperlink" Target="https://pubchem.ncbi.nlm.nih.gov/compound/25137951" TargetMode="External"/><Relationship Id="rId3" Type="http://schemas.openxmlformats.org/officeDocument/2006/relationships/hyperlink" Target="https://pubchem.ncbi.nlm.nih.gov/compound/995" TargetMode="External"/><Relationship Id="rId7" Type="http://schemas.openxmlformats.org/officeDocument/2006/relationships/hyperlink" Target="https://pubchem.ncbi.nlm.nih.gov/compound/9115" TargetMode="External"/><Relationship Id="rId12" Type="http://schemas.openxmlformats.org/officeDocument/2006/relationships/hyperlink" Target="https://pubchem.ncbi.nlm.nih.gov/compound/9142" TargetMode="External"/><Relationship Id="rId17" Type="http://schemas.openxmlformats.org/officeDocument/2006/relationships/hyperlink" Target="https://pubchem.ncbi.nlm.nih.gov/compound/155802578" TargetMode="External"/><Relationship Id="rId2" Type="http://schemas.openxmlformats.org/officeDocument/2006/relationships/hyperlink" Target="https://pubchem.ncbi.nlm.nih.gov/compound/9149" TargetMode="External"/><Relationship Id="rId16" Type="http://schemas.openxmlformats.org/officeDocument/2006/relationships/hyperlink" Target="https://pubchem.ncbi.nlm.nih.gov/compound/25137954" TargetMode="External"/><Relationship Id="rId20" Type="http://schemas.openxmlformats.org/officeDocument/2006/relationships/drawing" Target="../drawings/drawing3.xml"/><Relationship Id="rId1" Type="http://schemas.openxmlformats.org/officeDocument/2006/relationships/hyperlink" Target="https://pubchem.ncbi.nlm.nih.gov/compound/568" TargetMode="External"/><Relationship Id="rId6" Type="http://schemas.openxmlformats.org/officeDocument/2006/relationships/hyperlink" Target="https://pubchem.ncbi.nlm.nih.gov/compound/9150" TargetMode="External"/><Relationship Id="rId11" Type="http://schemas.openxmlformats.org/officeDocument/2006/relationships/hyperlink" Target="https://pubchem.ncbi.nlm.nih.gov/compound/9201" TargetMode="External"/><Relationship Id="rId5" Type="http://schemas.openxmlformats.org/officeDocument/2006/relationships/hyperlink" Target="https://pubchem.ncbi.nlm.nih.gov/compound/31423" TargetMode="External"/><Relationship Id="rId15" Type="http://schemas.openxmlformats.org/officeDocument/2006/relationships/hyperlink" Target="https://pubchem.ncbi.nlm.nih.gov/compound/21083032" TargetMode="External"/><Relationship Id="rId10" Type="http://schemas.openxmlformats.org/officeDocument/2006/relationships/hyperlink" Target="https://pubchem.ncbi.nlm.nih.gov/compound/241" TargetMode="External"/><Relationship Id="rId19" Type="http://schemas.openxmlformats.org/officeDocument/2006/relationships/hyperlink" Target="https://pubchem.ncbi.nlm.nih.gov/compound/101140345" TargetMode="External"/><Relationship Id="rId4" Type="http://schemas.openxmlformats.org/officeDocument/2006/relationships/hyperlink" Target="https://pubchem.ncbi.nlm.nih.gov/compound/8418" TargetMode="External"/><Relationship Id="rId9" Type="http://schemas.openxmlformats.org/officeDocument/2006/relationships/hyperlink" Target="https://pubchem.ncbi.nlm.nih.gov/compound/9153" TargetMode="External"/><Relationship Id="rId14" Type="http://schemas.openxmlformats.org/officeDocument/2006/relationships/hyperlink" Target="https://pubchem.ncbi.nlm.nih.gov/compound/Benzo_ghi_perylene"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pubchem.ncbi.nlm.nih.gov/compound/9171" TargetMode="External"/><Relationship Id="rId13" Type="http://schemas.openxmlformats.org/officeDocument/2006/relationships/hyperlink" Target="https://pubchem.ncbi.nlm.nih.gov/compound/2336" TargetMode="External"/><Relationship Id="rId18" Type="http://schemas.openxmlformats.org/officeDocument/2006/relationships/hyperlink" Target="https://pubchem.ncbi.nlm.nih.gov/compound/25137951" TargetMode="External"/><Relationship Id="rId3" Type="http://schemas.openxmlformats.org/officeDocument/2006/relationships/hyperlink" Target="https://pubchem.ncbi.nlm.nih.gov/compound/995" TargetMode="External"/><Relationship Id="rId7" Type="http://schemas.openxmlformats.org/officeDocument/2006/relationships/hyperlink" Target="https://pubchem.ncbi.nlm.nih.gov/compound/9115" TargetMode="External"/><Relationship Id="rId12" Type="http://schemas.openxmlformats.org/officeDocument/2006/relationships/hyperlink" Target="https://pubchem.ncbi.nlm.nih.gov/compound/9142" TargetMode="External"/><Relationship Id="rId17" Type="http://schemas.openxmlformats.org/officeDocument/2006/relationships/hyperlink" Target="https://pubchem.ncbi.nlm.nih.gov/compound/155802578" TargetMode="External"/><Relationship Id="rId2" Type="http://schemas.openxmlformats.org/officeDocument/2006/relationships/hyperlink" Target="https://pubchem.ncbi.nlm.nih.gov/compound/9149" TargetMode="External"/><Relationship Id="rId16" Type="http://schemas.openxmlformats.org/officeDocument/2006/relationships/hyperlink" Target="https://pubchem.ncbi.nlm.nih.gov/compound/25137954" TargetMode="External"/><Relationship Id="rId20" Type="http://schemas.openxmlformats.org/officeDocument/2006/relationships/drawing" Target="../drawings/drawing4.xml"/><Relationship Id="rId1" Type="http://schemas.openxmlformats.org/officeDocument/2006/relationships/hyperlink" Target="https://pubchem.ncbi.nlm.nih.gov/compound/568" TargetMode="External"/><Relationship Id="rId6" Type="http://schemas.openxmlformats.org/officeDocument/2006/relationships/hyperlink" Target="https://pubchem.ncbi.nlm.nih.gov/compound/9150" TargetMode="External"/><Relationship Id="rId11" Type="http://schemas.openxmlformats.org/officeDocument/2006/relationships/hyperlink" Target="https://pubchem.ncbi.nlm.nih.gov/compound/9201" TargetMode="External"/><Relationship Id="rId5" Type="http://schemas.openxmlformats.org/officeDocument/2006/relationships/hyperlink" Target="https://pubchem.ncbi.nlm.nih.gov/compound/31423" TargetMode="External"/><Relationship Id="rId15" Type="http://schemas.openxmlformats.org/officeDocument/2006/relationships/hyperlink" Target="https://pubchem.ncbi.nlm.nih.gov/compound/21083032" TargetMode="External"/><Relationship Id="rId10" Type="http://schemas.openxmlformats.org/officeDocument/2006/relationships/hyperlink" Target="https://pubchem.ncbi.nlm.nih.gov/compound/241" TargetMode="External"/><Relationship Id="rId19" Type="http://schemas.openxmlformats.org/officeDocument/2006/relationships/hyperlink" Target="https://pubchem.ncbi.nlm.nih.gov/compound/101140345" TargetMode="External"/><Relationship Id="rId4" Type="http://schemas.openxmlformats.org/officeDocument/2006/relationships/hyperlink" Target="https://pubchem.ncbi.nlm.nih.gov/compound/8418" TargetMode="External"/><Relationship Id="rId9" Type="http://schemas.openxmlformats.org/officeDocument/2006/relationships/hyperlink" Target="https://pubchem.ncbi.nlm.nih.gov/compound/9153" TargetMode="External"/><Relationship Id="rId14" Type="http://schemas.openxmlformats.org/officeDocument/2006/relationships/hyperlink" Target="https://pubchem.ncbi.nlm.nih.gov/compound/Benzo_ghi_perylene"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s://pubchem.ncbi.nlm.nih.gov/compound/9171" TargetMode="External"/><Relationship Id="rId13" Type="http://schemas.openxmlformats.org/officeDocument/2006/relationships/hyperlink" Target="https://pubchem.ncbi.nlm.nih.gov/compound/2336" TargetMode="External"/><Relationship Id="rId18" Type="http://schemas.openxmlformats.org/officeDocument/2006/relationships/hyperlink" Target="https://pubchem.ncbi.nlm.nih.gov/compound/25137951" TargetMode="External"/><Relationship Id="rId3" Type="http://schemas.openxmlformats.org/officeDocument/2006/relationships/hyperlink" Target="https://pubchem.ncbi.nlm.nih.gov/compound/995" TargetMode="External"/><Relationship Id="rId7" Type="http://schemas.openxmlformats.org/officeDocument/2006/relationships/hyperlink" Target="https://pubchem.ncbi.nlm.nih.gov/compound/9115" TargetMode="External"/><Relationship Id="rId12" Type="http://schemas.openxmlformats.org/officeDocument/2006/relationships/hyperlink" Target="https://pubchem.ncbi.nlm.nih.gov/compound/9142" TargetMode="External"/><Relationship Id="rId17" Type="http://schemas.openxmlformats.org/officeDocument/2006/relationships/hyperlink" Target="https://pubchem.ncbi.nlm.nih.gov/compound/155802578" TargetMode="External"/><Relationship Id="rId2" Type="http://schemas.openxmlformats.org/officeDocument/2006/relationships/hyperlink" Target="https://pubchem.ncbi.nlm.nih.gov/compound/9149" TargetMode="External"/><Relationship Id="rId16" Type="http://schemas.openxmlformats.org/officeDocument/2006/relationships/hyperlink" Target="https://pubchem.ncbi.nlm.nih.gov/compound/25137954" TargetMode="External"/><Relationship Id="rId20" Type="http://schemas.openxmlformats.org/officeDocument/2006/relationships/drawing" Target="../drawings/drawing5.xml"/><Relationship Id="rId1" Type="http://schemas.openxmlformats.org/officeDocument/2006/relationships/hyperlink" Target="https://pubchem.ncbi.nlm.nih.gov/compound/568" TargetMode="External"/><Relationship Id="rId6" Type="http://schemas.openxmlformats.org/officeDocument/2006/relationships/hyperlink" Target="https://pubchem.ncbi.nlm.nih.gov/compound/9150" TargetMode="External"/><Relationship Id="rId11" Type="http://schemas.openxmlformats.org/officeDocument/2006/relationships/hyperlink" Target="https://pubchem.ncbi.nlm.nih.gov/compound/9201" TargetMode="External"/><Relationship Id="rId5" Type="http://schemas.openxmlformats.org/officeDocument/2006/relationships/hyperlink" Target="https://pubchem.ncbi.nlm.nih.gov/compound/31423" TargetMode="External"/><Relationship Id="rId15" Type="http://schemas.openxmlformats.org/officeDocument/2006/relationships/hyperlink" Target="https://pubchem.ncbi.nlm.nih.gov/compound/21083032" TargetMode="External"/><Relationship Id="rId10" Type="http://schemas.openxmlformats.org/officeDocument/2006/relationships/hyperlink" Target="https://pubchem.ncbi.nlm.nih.gov/compound/241" TargetMode="External"/><Relationship Id="rId19" Type="http://schemas.openxmlformats.org/officeDocument/2006/relationships/hyperlink" Target="https://pubchem.ncbi.nlm.nih.gov/compound/101140345" TargetMode="External"/><Relationship Id="rId4" Type="http://schemas.openxmlformats.org/officeDocument/2006/relationships/hyperlink" Target="https://pubchem.ncbi.nlm.nih.gov/compound/8418" TargetMode="External"/><Relationship Id="rId9" Type="http://schemas.openxmlformats.org/officeDocument/2006/relationships/hyperlink" Target="https://pubchem.ncbi.nlm.nih.gov/compound/9153" TargetMode="External"/><Relationship Id="rId14" Type="http://schemas.openxmlformats.org/officeDocument/2006/relationships/hyperlink" Target="https://pubchem.ncbi.nlm.nih.gov/compound/Benzo_ghi_perylene"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pubchem.ncbi.nlm.nih.gov/compound/9171" TargetMode="External"/><Relationship Id="rId13" Type="http://schemas.openxmlformats.org/officeDocument/2006/relationships/hyperlink" Target="https://pubchem.ncbi.nlm.nih.gov/compound/2336" TargetMode="External"/><Relationship Id="rId18" Type="http://schemas.openxmlformats.org/officeDocument/2006/relationships/hyperlink" Target="https://pubchem.ncbi.nlm.nih.gov/compound/25137951" TargetMode="External"/><Relationship Id="rId3" Type="http://schemas.openxmlformats.org/officeDocument/2006/relationships/hyperlink" Target="https://pubchem.ncbi.nlm.nih.gov/compound/995" TargetMode="External"/><Relationship Id="rId7" Type="http://schemas.openxmlformats.org/officeDocument/2006/relationships/hyperlink" Target="https://pubchem.ncbi.nlm.nih.gov/compound/9115" TargetMode="External"/><Relationship Id="rId12" Type="http://schemas.openxmlformats.org/officeDocument/2006/relationships/hyperlink" Target="https://pubchem.ncbi.nlm.nih.gov/compound/9142" TargetMode="External"/><Relationship Id="rId17" Type="http://schemas.openxmlformats.org/officeDocument/2006/relationships/hyperlink" Target="https://pubchem.ncbi.nlm.nih.gov/compound/155802578" TargetMode="External"/><Relationship Id="rId2" Type="http://schemas.openxmlformats.org/officeDocument/2006/relationships/hyperlink" Target="https://pubchem.ncbi.nlm.nih.gov/compound/9149" TargetMode="External"/><Relationship Id="rId16" Type="http://schemas.openxmlformats.org/officeDocument/2006/relationships/hyperlink" Target="https://pubchem.ncbi.nlm.nih.gov/compound/25137954" TargetMode="External"/><Relationship Id="rId20" Type="http://schemas.openxmlformats.org/officeDocument/2006/relationships/drawing" Target="../drawings/drawing6.xml"/><Relationship Id="rId1" Type="http://schemas.openxmlformats.org/officeDocument/2006/relationships/hyperlink" Target="https://pubchem.ncbi.nlm.nih.gov/compound/568" TargetMode="External"/><Relationship Id="rId6" Type="http://schemas.openxmlformats.org/officeDocument/2006/relationships/hyperlink" Target="https://pubchem.ncbi.nlm.nih.gov/compound/9150" TargetMode="External"/><Relationship Id="rId11" Type="http://schemas.openxmlformats.org/officeDocument/2006/relationships/hyperlink" Target="https://pubchem.ncbi.nlm.nih.gov/compound/9201" TargetMode="External"/><Relationship Id="rId5" Type="http://schemas.openxmlformats.org/officeDocument/2006/relationships/hyperlink" Target="https://pubchem.ncbi.nlm.nih.gov/compound/31423" TargetMode="External"/><Relationship Id="rId15" Type="http://schemas.openxmlformats.org/officeDocument/2006/relationships/hyperlink" Target="https://pubchem.ncbi.nlm.nih.gov/compound/21083032" TargetMode="External"/><Relationship Id="rId10" Type="http://schemas.openxmlformats.org/officeDocument/2006/relationships/hyperlink" Target="https://pubchem.ncbi.nlm.nih.gov/compound/241" TargetMode="External"/><Relationship Id="rId19" Type="http://schemas.openxmlformats.org/officeDocument/2006/relationships/hyperlink" Target="https://pubchem.ncbi.nlm.nih.gov/compound/101140345" TargetMode="External"/><Relationship Id="rId4" Type="http://schemas.openxmlformats.org/officeDocument/2006/relationships/hyperlink" Target="https://pubchem.ncbi.nlm.nih.gov/compound/8418" TargetMode="External"/><Relationship Id="rId9" Type="http://schemas.openxmlformats.org/officeDocument/2006/relationships/hyperlink" Target="https://pubchem.ncbi.nlm.nih.gov/compound/9153" TargetMode="External"/><Relationship Id="rId14" Type="http://schemas.openxmlformats.org/officeDocument/2006/relationships/hyperlink" Target="https://pubchem.ncbi.nlm.nih.gov/compound/Benzo_ghi_perylen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740086-441D-6449-8E0C-DC26DBD205B3}">
  <sheetPr codeName="Sheet1"/>
  <dimension ref="B1:AD43"/>
  <sheetViews>
    <sheetView topLeftCell="A9" zoomScaleNormal="100" workbookViewId="0">
      <selection activeCell="B3" sqref="B3"/>
    </sheetView>
  </sheetViews>
  <sheetFormatPr baseColWidth="10" defaultRowHeight="16"/>
  <cols>
    <col min="1" max="1" width="10.83203125" style="2"/>
    <col min="2" max="2" width="17.1640625" style="4" bestFit="1" customWidth="1"/>
    <col min="3" max="3" width="22.33203125" style="4" customWidth="1"/>
    <col min="4" max="5" width="10.83203125" style="4"/>
    <col min="6" max="6" width="15.1640625" style="4" bestFit="1" customWidth="1"/>
    <col min="7" max="7" width="14.33203125" style="4" customWidth="1"/>
    <col min="8" max="8" width="9.6640625" style="2" bestFit="1" customWidth="1"/>
    <col min="9" max="9" width="8.6640625" style="2" hidden="1" customWidth="1"/>
    <col min="10" max="10" width="8.6640625" style="2" bestFit="1" customWidth="1"/>
    <col min="11" max="11" width="8.1640625" style="2" bestFit="1" customWidth="1"/>
    <col min="12" max="12" width="8.1640625" style="2" hidden="1" customWidth="1"/>
    <col min="13" max="13" width="8.1640625" style="2" bestFit="1" customWidth="1"/>
    <col min="14" max="14" width="8.1640625" style="2" hidden="1" customWidth="1"/>
    <col min="15" max="15" width="6.5" style="2" hidden="1" customWidth="1"/>
    <col min="16" max="16" width="6.5" style="2" bestFit="1" customWidth="1"/>
    <col min="17" max="17" width="9.6640625" style="4" hidden="1" customWidth="1"/>
    <col min="18" max="19" width="8.6640625" style="4" hidden="1" customWidth="1"/>
    <col min="20" max="20" width="12.5" style="4" hidden="1" customWidth="1"/>
    <col min="21" max="22" width="8.6640625" style="4" hidden="1" customWidth="1"/>
    <col min="23" max="23" width="8.1640625" style="4" hidden="1" customWidth="1"/>
    <col min="24" max="24" width="6.5" style="4" hidden="1" customWidth="1"/>
    <col min="25" max="25" width="13.6640625" style="4" hidden="1" customWidth="1"/>
    <col min="26" max="16384" width="10.83203125" style="2"/>
  </cols>
  <sheetData>
    <row r="1" spans="2:30">
      <c r="C1" s="6"/>
      <c r="D1" s="6"/>
      <c r="E1" s="6"/>
      <c r="F1" s="6"/>
      <c r="G1" s="6"/>
      <c r="H1" s="6"/>
      <c r="I1" s="6"/>
      <c r="J1" s="6"/>
      <c r="K1" s="6"/>
      <c r="L1" s="6"/>
      <c r="M1" s="6"/>
      <c r="N1" s="6"/>
      <c r="O1" s="6"/>
      <c r="P1" s="6"/>
      <c r="Q1" s="6"/>
      <c r="R1" s="6"/>
      <c r="S1" s="6"/>
      <c r="T1" s="6"/>
      <c r="U1" s="6"/>
      <c r="V1" s="6"/>
      <c r="W1" s="6"/>
      <c r="X1" s="6"/>
      <c r="Y1" s="6"/>
    </row>
    <row r="2" spans="2:30">
      <c r="B2" s="5" t="s">
        <v>93</v>
      </c>
      <c r="C2" s="6"/>
      <c r="D2" s="6"/>
      <c r="E2" s="6"/>
      <c r="F2" s="6"/>
      <c r="G2" s="6"/>
      <c r="H2" s="6"/>
      <c r="I2" s="6"/>
      <c r="J2" s="6"/>
      <c r="K2" s="6"/>
      <c r="L2" s="6"/>
      <c r="M2" s="6"/>
      <c r="N2" s="6"/>
      <c r="O2" s="6"/>
      <c r="P2" s="6"/>
      <c r="Q2" s="6"/>
      <c r="R2" s="6"/>
      <c r="S2" s="6"/>
      <c r="T2" s="6"/>
      <c r="U2" s="6"/>
      <c r="V2" s="6"/>
      <c r="W2" s="6"/>
      <c r="X2" s="6"/>
      <c r="Y2" s="6"/>
    </row>
    <row r="3" spans="2:30">
      <c r="B3" s="5" t="s">
        <v>94</v>
      </c>
      <c r="C3" s="10" t="s">
        <v>95</v>
      </c>
      <c r="D3" s="6"/>
      <c r="E3" s="6"/>
      <c r="F3" s="6"/>
      <c r="G3" s="6"/>
      <c r="H3" s="6"/>
      <c r="I3" s="6"/>
      <c r="J3" s="6"/>
      <c r="K3" s="6"/>
      <c r="L3" s="6"/>
      <c r="M3" s="6"/>
      <c r="N3" s="6"/>
      <c r="O3" s="6"/>
      <c r="P3" s="6"/>
      <c r="Q3" s="6"/>
      <c r="R3" s="6"/>
      <c r="S3" s="6"/>
      <c r="T3" s="6"/>
      <c r="U3" s="6"/>
      <c r="V3" s="6"/>
      <c r="W3" s="6"/>
      <c r="X3" s="6"/>
      <c r="Y3" s="6"/>
    </row>
    <row r="4" spans="2:30">
      <c r="B4" s="5"/>
      <c r="C4" s="10"/>
      <c r="D4" s="6"/>
      <c r="E4" s="6"/>
      <c r="F4" s="6"/>
      <c r="G4" s="6"/>
      <c r="H4" s="6"/>
      <c r="I4" s="6"/>
      <c r="J4" s="6"/>
      <c r="K4" s="6"/>
      <c r="L4" s="6"/>
      <c r="M4" s="6"/>
      <c r="N4" s="6"/>
      <c r="O4" s="6"/>
      <c r="P4" s="6"/>
      <c r="Q4" s="6"/>
      <c r="R4" s="6"/>
      <c r="S4" s="6"/>
      <c r="T4" s="6"/>
      <c r="U4" s="6"/>
      <c r="V4" s="6"/>
      <c r="W4" s="6"/>
      <c r="X4" s="6"/>
      <c r="Y4" s="6"/>
    </row>
    <row r="5" spans="2:30">
      <c r="B5" s="11"/>
      <c r="C5" s="9" t="s">
        <v>140</v>
      </c>
      <c r="D5" s="6"/>
      <c r="E5" s="6"/>
      <c r="F5" s="6"/>
      <c r="G5" s="6"/>
      <c r="H5" s="6"/>
      <c r="I5" s="6"/>
      <c r="J5" s="6"/>
      <c r="K5" s="6"/>
      <c r="L5" s="6"/>
      <c r="M5" s="6"/>
      <c r="N5" s="6"/>
      <c r="O5" s="6"/>
      <c r="P5" s="6"/>
      <c r="Q5" s="6"/>
      <c r="R5" s="6"/>
      <c r="S5" s="6"/>
      <c r="T5" s="6"/>
      <c r="U5" s="6"/>
      <c r="V5" s="6"/>
      <c r="W5" s="6"/>
      <c r="X5" s="6"/>
      <c r="Y5" s="6"/>
    </row>
    <row r="6" spans="2:30">
      <c r="B6" s="128" t="s">
        <v>39</v>
      </c>
      <c r="C6" s="130" t="s">
        <v>15</v>
      </c>
      <c r="D6" s="130" t="s">
        <v>38</v>
      </c>
      <c r="E6" s="130" t="s">
        <v>48</v>
      </c>
      <c r="F6" s="130" t="s">
        <v>49</v>
      </c>
      <c r="G6" s="130" t="s">
        <v>91</v>
      </c>
      <c r="H6" s="118" t="str">
        <f>HYPERLINK("#BPCA!B5","BPCA types")</f>
        <v>BPCA types</v>
      </c>
      <c r="I6" s="118"/>
      <c r="J6" s="118"/>
      <c r="K6" s="118"/>
      <c r="L6" s="118"/>
      <c r="M6" s="118"/>
      <c r="N6" s="118"/>
      <c r="O6" s="118"/>
      <c r="P6" s="119"/>
      <c r="Q6" s="131" t="s">
        <v>114</v>
      </c>
      <c r="R6" s="131"/>
      <c r="S6" s="131"/>
      <c r="T6" s="131"/>
      <c r="U6" s="131"/>
      <c r="V6" s="131"/>
      <c r="W6" s="131"/>
      <c r="X6" s="131"/>
      <c r="Y6" s="131"/>
    </row>
    <row r="7" spans="2:30">
      <c r="B7" s="129"/>
      <c r="C7" s="131"/>
      <c r="D7" s="131"/>
      <c r="E7" s="131"/>
      <c r="F7" s="131"/>
      <c r="G7" s="131"/>
      <c r="H7" s="15" t="str">
        <f>BPCA!C3</f>
        <v>B2CA-1,2</v>
      </c>
      <c r="I7" s="15" t="str">
        <f>BPCA!E5</f>
        <v xml:space="preserve">B2CA-2 </v>
      </c>
      <c r="J7" s="15" t="str">
        <f>BPCA!D5</f>
        <v xml:space="preserve">B3CA-1 </v>
      </c>
      <c r="K7" s="15" t="str">
        <f>BPCA!G5</f>
        <v>B3CA-2</v>
      </c>
      <c r="L7" s="15" t="s">
        <v>52</v>
      </c>
      <c r="M7" s="15" t="str">
        <f>BPCA!K5</f>
        <v>B4CA-3</v>
      </c>
      <c r="N7" s="15" t="s">
        <v>51</v>
      </c>
      <c r="O7" s="15" t="s">
        <v>3</v>
      </c>
      <c r="P7" s="18" t="s">
        <v>4</v>
      </c>
      <c r="Q7" s="15" t="s">
        <v>64</v>
      </c>
      <c r="R7" s="15" t="s">
        <v>59</v>
      </c>
      <c r="S7" s="15" t="s">
        <v>58</v>
      </c>
      <c r="T7" s="15" t="s">
        <v>50</v>
      </c>
      <c r="U7" s="15" t="s">
        <v>52</v>
      </c>
      <c r="V7" s="15" t="s">
        <v>88</v>
      </c>
      <c r="W7" s="15" t="s">
        <v>51</v>
      </c>
      <c r="X7" s="15" t="s">
        <v>3</v>
      </c>
      <c r="Y7" s="15" t="s">
        <v>4</v>
      </c>
    </row>
    <row r="8" spans="2:30" ht="34" customHeight="1">
      <c r="B8" s="120" t="s">
        <v>20</v>
      </c>
      <c r="C8" s="121"/>
      <c r="D8" s="121">
        <v>14</v>
      </c>
      <c r="E8" s="121">
        <v>94.4</v>
      </c>
      <c r="F8" s="121">
        <v>24.2</v>
      </c>
      <c r="G8" s="17" t="s">
        <v>36</v>
      </c>
      <c r="H8" s="17">
        <v>100</v>
      </c>
      <c r="I8" s="17"/>
      <c r="J8" s="17"/>
      <c r="K8" s="17"/>
      <c r="L8" s="17"/>
      <c r="M8" s="17"/>
      <c r="N8" s="17"/>
      <c r="O8" s="17"/>
      <c r="P8" s="19"/>
      <c r="Q8" s="121">
        <f>ABS(H9-H8)/H9</f>
        <v>0.50000000000000022</v>
      </c>
      <c r="R8" s="121"/>
      <c r="S8" s="121"/>
      <c r="T8" s="121"/>
      <c r="U8" s="121"/>
      <c r="V8" s="121"/>
      <c r="W8" s="121"/>
      <c r="X8" s="121"/>
      <c r="Y8" s="121"/>
    </row>
    <row r="9" spans="2:30" ht="34" customHeight="1">
      <c r="B9" s="120"/>
      <c r="C9" s="121"/>
      <c r="D9" s="121"/>
      <c r="E9" s="121"/>
      <c r="F9" s="121"/>
      <c r="G9" s="17" t="s">
        <v>90</v>
      </c>
      <c r="H9" s="20">
        <f>2/3*100</f>
        <v>66.666666666666657</v>
      </c>
      <c r="I9" s="20"/>
      <c r="J9" s="20"/>
      <c r="K9" s="20"/>
      <c r="L9" s="20"/>
      <c r="M9" s="20"/>
      <c r="N9" s="20">
        <f>1/3*100</f>
        <v>33.333333333333329</v>
      </c>
      <c r="O9" s="17"/>
      <c r="P9" s="19"/>
      <c r="Q9" s="121"/>
      <c r="R9" s="121"/>
      <c r="S9" s="121"/>
      <c r="T9" s="121"/>
      <c r="U9" s="121"/>
      <c r="V9" s="121"/>
      <c r="W9" s="121"/>
      <c r="X9" s="121"/>
      <c r="Y9" s="121"/>
    </row>
    <row r="10" spans="2:30" ht="33" customHeight="1">
      <c r="B10" s="124" t="s">
        <v>44</v>
      </c>
      <c r="C10" s="121"/>
      <c r="D10" s="121">
        <v>14</v>
      </c>
      <c r="E10" s="121">
        <v>94.4</v>
      </c>
      <c r="F10" s="121">
        <v>23.7</v>
      </c>
      <c r="G10" s="17" t="s">
        <v>36</v>
      </c>
      <c r="H10" s="17">
        <v>72.099999999999994</v>
      </c>
      <c r="I10" s="17"/>
      <c r="J10" s="17"/>
      <c r="K10" s="17"/>
      <c r="L10" s="17"/>
      <c r="M10" s="17">
        <v>27.9</v>
      </c>
      <c r="N10" s="20"/>
      <c r="O10" s="17"/>
      <c r="P10" s="19"/>
      <c r="Q10" s="121">
        <f>ABS(H11-H10)/H11</f>
        <v>8.1500000000000072E-2</v>
      </c>
      <c r="R10" s="121"/>
      <c r="S10" s="121"/>
      <c r="T10" s="121"/>
      <c r="U10" s="121"/>
      <c r="V10" s="121">
        <f>ABS(M11-M10)/M11</f>
        <v>0.16299999999999992</v>
      </c>
      <c r="W10" s="121"/>
      <c r="X10" s="121"/>
      <c r="Y10" s="121"/>
    </row>
    <row r="11" spans="2:30" ht="33" customHeight="1">
      <c r="B11" s="124"/>
      <c r="C11" s="121"/>
      <c r="D11" s="121"/>
      <c r="E11" s="121"/>
      <c r="F11" s="121"/>
      <c r="G11" s="17" t="s">
        <v>90</v>
      </c>
      <c r="H11" s="20">
        <f>2/3*100</f>
        <v>66.666666666666657</v>
      </c>
      <c r="I11" s="17"/>
      <c r="J11" s="17"/>
      <c r="K11" s="17"/>
      <c r="L11" s="17"/>
      <c r="M11" s="20">
        <f>1/3*100</f>
        <v>33.333333333333329</v>
      </c>
      <c r="N11" s="17"/>
      <c r="O11" s="17"/>
      <c r="P11" s="19"/>
      <c r="Q11" s="121"/>
      <c r="R11" s="121"/>
      <c r="S11" s="121"/>
      <c r="T11" s="121"/>
      <c r="U11" s="121"/>
      <c r="V11" s="121"/>
      <c r="W11" s="121"/>
      <c r="X11" s="121"/>
      <c r="Y11" s="121"/>
    </row>
    <row r="12" spans="2:30" ht="39" customHeight="1">
      <c r="B12" s="124" t="s">
        <v>45</v>
      </c>
      <c r="C12" s="121"/>
      <c r="D12" s="121">
        <v>18</v>
      </c>
      <c r="E12" s="121">
        <v>92.3</v>
      </c>
      <c r="F12" s="121">
        <v>29.3</v>
      </c>
      <c r="G12" s="17" t="s">
        <v>36</v>
      </c>
      <c r="H12" s="17"/>
      <c r="I12" s="17">
        <v>1.3</v>
      </c>
      <c r="J12" s="17">
        <f>62.4/2</f>
        <v>31.2</v>
      </c>
      <c r="K12" s="17">
        <f>62.4/2</f>
        <v>31.2</v>
      </c>
      <c r="L12" s="17"/>
      <c r="M12" s="17">
        <v>35.4</v>
      </c>
      <c r="N12" s="17"/>
      <c r="O12" s="17"/>
      <c r="P12" s="19"/>
      <c r="Q12" s="121"/>
      <c r="R12" s="121"/>
      <c r="S12" s="121">
        <f>ABS(J13-J12)/J13</f>
        <v>6.399999999999989E-2</v>
      </c>
      <c r="T12" s="121">
        <f>ABS(K13-K12)/K13</f>
        <v>6.399999999999989E-2</v>
      </c>
      <c r="U12" s="121"/>
      <c r="V12" s="121">
        <f>ABS(M13-M12)/M13</f>
        <v>6.2000000000000111E-2</v>
      </c>
      <c r="W12" s="121"/>
      <c r="X12" s="121"/>
      <c r="Y12" s="121"/>
    </row>
    <row r="13" spans="2:30" ht="39" customHeight="1">
      <c r="B13" s="124"/>
      <c r="C13" s="121"/>
      <c r="D13" s="121"/>
      <c r="E13" s="121"/>
      <c r="F13" s="121"/>
      <c r="G13" s="17" t="s">
        <v>90</v>
      </c>
      <c r="H13" s="17"/>
      <c r="I13" s="20"/>
      <c r="J13" s="20">
        <f>1/3*100</f>
        <v>33.333333333333329</v>
      </c>
      <c r="K13" s="20">
        <f>1/3*100</f>
        <v>33.333333333333329</v>
      </c>
      <c r="L13" s="20"/>
      <c r="M13" s="20">
        <f>1/3*100</f>
        <v>33.333333333333329</v>
      </c>
      <c r="N13" s="17"/>
      <c r="O13" s="17"/>
      <c r="P13" s="19"/>
      <c r="Q13" s="121"/>
      <c r="R13" s="121"/>
      <c r="S13" s="121"/>
      <c r="T13" s="121"/>
      <c r="U13" s="121"/>
      <c r="V13" s="121"/>
      <c r="W13" s="121"/>
      <c r="X13" s="121"/>
      <c r="Y13" s="121"/>
    </row>
    <row r="14" spans="2:30" ht="32" customHeight="1">
      <c r="B14" s="124" t="s">
        <v>22</v>
      </c>
      <c r="C14" s="121"/>
      <c r="D14" s="121">
        <v>18</v>
      </c>
      <c r="E14" s="121">
        <v>94.7</v>
      </c>
      <c r="F14" s="121">
        <v>21.5</v>
      </c>
      <c r="G14" s="17" t="s">
        <v>36</v>
      </c>
      <c r="H14" s="17">
        <v>64.400000000000006</v>
      </c>
      <c r="I14" s="17"/>
      <c r="J14" s="17"/>
      <c r="K14" s="17"/>
      <c r="L14" s="17"/>
      <c r="M14" s="17">
        <v>35.6</v>
      </c>
      <c r="N14" s="17"/>
      <c r="O14" s="17"/>
      <c r="P14" s="19"/>
      <c r="Q14" s="121">
        <f>ABS(H15-H14)/H15</f>
        <v>0.28800000000000009</v>
      </c>
      <c r="R14" s="121"/>
      <c r="S14" s="121"/>
      <c r="T14" s="121"/>
      <c r="U14" s="121"/>
      <c r="V14" s="121">
        <f>ABS(M15-M14)/M15</f>
        <v>0.28799999999999998</v>
      </c>
      <c r="W14" s="121"/>
      <c r="X14" s="121"/>
      <c r="Y14" s="121"/>
    </row>
    <row r="15" spans="2:30" ht="32" customHeight="1">
      <c r="B15" s="124"/>
      <c r="C15" s="121"/>
      <c r="D15" s="121"/>
      <c r="E15" s="121"/>
      <c r="F15" s="121"/>
      <c r="G15" s="17" t="s">
        <v>90</v>
      </c>
      <c r="H15" s="17">
        <f>2/4*100</f>
        <v>50</v>
      </c>
      <c r="I15" s="17"/>
      <c r="J15" s="17"/>
      <c r="K15" s="17"/>
      <c r="L15" s="17"/>
      <c r="M15" s="17">
        <f>2/4*100</f>
        <v>50</v>
      </c>
      <c r="N15" s="17"/>
      <c r="O15" s="17"/>
      <c r="P15" s="19"/>
      <c r="Q15" s="121"/>
      <c r="R15" s="121"/>
      <c r="S15" s="121"/>
      <c r="T15" s="121"/>
      <c r="U15" s="121"/>
      <c r="V15" s="121"/>
      <c r="W15" s="121"/>
      <c r="X15" s="121"/>
      <c r="Y15" s="121"/>
    </row>
    <row r="16" spans="2:30" ht="36" customHeight="1">
      <c r="B16" s="120" t="s">
        <v>21</v>
      </c>
      <c r="C16" s="121"/>
      <c r="D16" s="121">
        <v>16</v>
      </c>
      <c r="E16" s="121">
        <v>95</v>
      </c>
      <c r="F16" s="121">
        <v>37</v>
      </c>
      <c r="G16" s="17" t="s">
        <v>36</v>
      </c>
      <c r="H16" s="17"/>
      <c r="I16" s="17"/>
      <c r="J16" s="17"/>
      <c r="K16" s="17">
        <v>18.8</v>
      </c>
      <c r="L16" s="17"/>
      <c r="M16" s="17">
        <v>79.3</v>
      </c>
      <c r="N16" s="17"/>
      <c r="O16" s="17"/>
      <c r="P16" s="19"/>
      <c r="Q16" s="121"/>
      <c r="R16" s="121"/>
      <c r="S16" s="121"/>
      <c r="T16" s="121">
        <f>ABS(K17-K16)/K17</f>
        <v>0.624</v>
      </c>
      <c r="U16" s="121"/>
      <c r="V16" s="121">
        <f>ABS(M17-M16)/M17</f>
        <v>0.58599999999999997</v>
      </c>
      <c r="W16" s="121"/>
      <c r="X16" s="121"/>
      <c r="Y16" s="121"/>
      <c r="AD16" s="1"/>
    </row>
    <row r="17" spans="2:25" ht="36" customHeight="1">
      <c r="B17" s="120"/>
      <c r="C17" s="121"/>
      <c r="D17" s="121"/>
      <c r="E17" s="121"/>
      <c r="F17" s="121"/>
      <c r="G17" s="17" t="s">
        <v>90</v>
      </c>
      <c r="H17" s="17"/>
      <c r="I17" s="17"/>
      <c r="J17" s="17"/>
      <c r="K17" s="17">
        <f>2/4*100</f>
        <v>50</v>
      </c>
      <c r="L17" s="17"/>
      <c r="M17" s="17">
        <f>2/4*100</f>
        <v>50</v>
      </c>
      <c r="N17" s="17"/>
      <c r="O17" s="17"/>
      <c r="P17" s="19"/>
      <c r="Q17" s="121"/>
      <c r="R17" s="121"/>
      <c r="S17" s="121"/>
      <c r="T17" s="121"/>
      <c r="U17" s="121"/>
      <c r="V17" s="121"/>
      <c r="W17" s="121"/>
      <c r="X17" s="121"/>
      <c r="Y17" s="121"/>
    </row>
    <row r="18" spans="2:25" ht="35" customHeight="1">
      <c r="B18" s="120" t="s">
        <v>46</v>
      </c>
      <c r="C18" s="121"/>
      <c r="D18" s="121">
        <v>16</v>
      </c>
      <c r="E18" s="121">
        <v>77.400000000000006</v>
      </c>
      <c r="F18" s="121">
        <v>36.1</v>
      </c>
      <c r="G18" s="17" t="s">
        <v>36</v>
      </c>
      <c r="H18" s="17">
        <v>4</v>
      </c>
      <c r="I18" s="17"/>
      <c r="J18" s="17"/>
      <c r="K18" s="17">
        <v>17.899999999999999</v>
      </c>
      <c r="L18" s="17"/>
      <c r="M18" s="17">
        <v>78.099999999999994</v>
      </c>
      <c r="N18" s="17"/>
      <c r="O18" s="17"/>
      <c r="P18" s="19"/>
      <c r="Q18" s="121"/>
      <c r="R18" s="121"/>
      <c r="S18" s="121"/>
      <c r="T18" s="121">
        <f>ABS(K19-K18)/K19</f>
        <v>0.64200000000000002</v>
      </c>
      <c r="U18" s="121"/>
      <c r="V18" s="121">
        <f>ABS(M19-M18)/M19</f>
        <v>0.56199999999999983</v>
      </c>
      <c r="W18" s="121"/>
      <c r="X18" s="121"/>
      <c r="Y18" s="121"/>
    </row>
    <row r="19" spans="2:25" ht="35" customHeight="1">
      <c r="B19" s="120"/>
      <c r="C19" s="121"/>
      <c r="D19" s="121"/>
      <c r="E19" s="121"/>
      <c r="F19" s="121"/>
      <c r="G19" s="17" t="s">
        <v>90</v>
      </c>
      <c r="H19" s="17"/>
      <c r="I19" s="17"/>
      <c r="J19" s="17"/>
      <c r="K19" s="17">
        <f>2/4*100</f>
        <v>50</v>
      </c>
      <c r="L19" s="17"/>
      <c r="M19" s="17">
        <f>2/4*100</f>
        <v>50</v>
      </c>
      <c r="N19" s="17"/>
      <c r="O19" s="17"/>
      <c r="P19" s="19"/>
      <c r="Q19" s="121"/>
      <c r="R19" s="121"/>
      <c r="S19" s="121"/>
      <c r="T19" s="121"/>
      <c r="U19" s="121"/>
      <c r="V19" s="121"/>
      <c r="W19" s="121"/>
      <c r="X19" s="121"/>
      <c r="Y19" s="121"/>
    </row>
    <row r="20" spans="2:25" ht="42" customHeight="1">
      <c r="B20" s="124" t="s">
        <v>25</v>
      </c>
      <c r="C20" s="121"/>
      <c r="D20" s="121">
        <v>20</v>
      </c>
      <c r="E20" s="121">
        <v>95.2</v>
      </c>
      <c r="F20" s="121">
        <v>22.5</v>
      </c>
      <c r="G20" s="17" t="s">
        <v>36</v>
      </c>
      <c r="H20" s="17"/>
      <c r="I20" s="17"/>
      <c r="J20" s="17"/>
      <c r="K20" s="17">
        <v>80.3</v>
      </c>
      <c r="L20" s="17"/>
      <c r="M20" s="17"/>
      <c r="N20" s="17"/>
      <c r="O20" s="17"/>
      <c r="P20" s="19">
        <v>19.7</v>
      </c>
      <c r="Q20" s="121"/>
      <c r="R20" s="121"/>
      <c r="S20" s="121"/>
      <c r="T20" s="121">
        <f>ABS(K21-K20)/K21</f>
        <v>3.7499999999999643E-3</v>
      </c>
      <c r="U20" s="121"/>
      <c r="V20" s="121"/>
      <c r="W20" s="121"/>
      <c r="X20" s="121"/>
      <c r="Y20" s="121">
        <f>ABS(P21-P20)/P21</f>
        <v>1.5000000000000036E-2</v>
      </c>
    </row>
    <row r="21" spans="2:25" ht="42" customHeight="1">
      <c r="B21" s="124"/>
      <c r="C21" s="121"/>
      <c r="D21" s="121"/>
      <c r="E21" s="121"/>
      <c r="F21" s="121"/>
      <c r="G21" s="17" t="s">
        <v>90</v>
      </c>
      <c r="H21" s="17"/>
      <c r="I21" s="17"/>
      <c r="J21" s="17"/>
      <c r="K21" s="17">
        <f>4/5*100</f>
        <v>80</v>
      </c>
      <c r="L21" s="17"/>
      <c r="M21" s="17"/>
      <c r="N21" s="17"/>
      <c r="O21" s="17"/>
      <c r="P21" s="19">
        <f>1/5*100</f>
        <v>20</v>
      </c>
      <c r="Q21" s="121"/>
      <c r="R21" s="121"/>
      <c r="S21" s="121"/>
      <c r="T21" s="121"/>
      <c r="U21" s="121"/>
      <c r="V21" s="121"/>
      <c r="W21" s="121"/>
      <c r="X21" s="121"/>
      <c r="Y21" s="121"/>
    </row>
    <row r="22" spans="2:25" ht="47" customHeight="1">
      <c r="B22" s="120" t="s">
        <v>47</v>
      </c>
      <c r="C22" s="121"/>
      <c r="D22" s="121">
        <v>22</v>
      </c>
      <c r="E22" s="121">
        <v>95.5</v>
      </c>
      <c r="F22" s="121">
        <v>22.5</v>
      </c>
      <c r="G22" s="17" t="s">
        <v>36</v>
      </c>
      <c r="H22" s="17"/>
      <c r="I22" s="17"/>
      <c r="J22" s="17"/>
      <c r="K22" s="17">
        <v>6.9</v>
      </c>
      <c r="L22" s="17"/>
      <c r="M22" s="17">
        <v>53.1</v>
      </c>
      <c r="N22" s="17"/>
      <c r="O22" s="17"/>
      <c r="P22" s="19">
        <v>40</v>
      </c>
      <c r="Q22" s="121"/>
      <c r="R22" s="121"/>
      <c r="S22" s="121"/>
      <c r="T22" s="121">
        <f>ABS(K23-K22)/K23</f>
        <v>0.79300000000000004</v>
      </c>
      <c r="U22" s="121"/>
      <c r="V22" s="121">
        <f>ABS(M23-M22)/M23</f>
        <v>6.2000000000000027E-2</v>
      </c>
      <c r="W22" s="121"/>
      <c r="X22" s="121"/>
      <c r="Y22" s="121">
        <f>ABS(P23-P22)/P23</f>
        <v>1.4000000000000004</v>
      </c>
    </row>
    <row r="23" spans="2:25" ht="47" customHeight="1">
      <c r="B23" s="120"/>
      <c r="C23" s="121"/>
      <c r="D23" s="121"/>
      <c r="E23" s="121"/>
      <c r="F23" s="121"/>
      <c r="G23" s="17" t="s">
        <v>90</v>
      </c>
      <c r="H23" s="17"/>
      <c r="I23" s="17"/>
      <c r="J23" s="17"/>
      <c r="K23" s="20">
        <f>2/6*100</f>
        <v>33.333333333333329</v>
      </c>
      <c r="L23" s="17"/>
      <c r="M23" s="17">
        <f>3/6*100</f>
        <v>50</v>
      </c>
      <c r="N23" s="17"/>
      <c r="O23" s="17"/>
      <c r="P23" s="21">
        <f>1/6*100</f>
        <v>16.666666666666664</v>
      </c>
      <c r="Q23" s="121"/>
      <c r="R23" s="121"/>
      <c r="S23" s="121"/>
      <c r="T23" s="121"/>
      <c r="U23" s="121"/>
      <c r="V23" s="121"/>
      <c r="W23" s="121"/>
      <c r="X23" s="121"/>
      <c r="Y23" s="121"/>
    </row>
    <row r="24" spans="2:25" ht="53" customHeight="1">
      <c r="B24" s="120" t="s">
        <v>24</v>
      </c>
      <c r="C24" s="121"/>
      <c r="D24" s="121">
        <v>24</v>
      </c>
      <c r="E24" s="121">
        <v>96</v>
      </c>
      <c r="F24" s="121">
        <v>19.5</v>
      </c>
      <c r="G24" s="17" t="s">
        <v>36</v>
      </c>
      <c r="H24" s="17"/>
      <c r="I24" s="17"/>
      <c r="J24" s="17"/>
      <c r="K24" s="17"/>
      <c r="L24" s="17"/>
      <c r="M24" s="17">
        <v>67.400000000000006</v>
      </c>
      <c r="N24" s="17"/>
      <c r="O24" s="17"/>
      <c r="P24" s="19">
        <v>32.6</v>
      </c>
      <c r="Q24" s="121"/>
      <c r="R24" s="121"/>
      <c r="S24" s="121"/>
      <c r="T24" s="121"/>
      <c r="U24" s="121"/>
      <c r="V24" s="132">
        <f>ABS(M25-M24)/M25</f>
        <v>0.21366666666666653</v>
      </c>
      <c r="W24" s="121"/>
      <c r="X24" s="121"/>
      <c r="Y24" s="121">
        <f>ABS(P25-P24)/P25</f>
        <v>1.2820000000000003</v>
      </c>
    </row>
    <row r="25" spans="2:25" ht="53" customHeight="1">
      <c r="B25" s="120"/>
      <c r="C25" s="121"/>
      <c r="D25" s="121"/>
      <c r="E25" s="121"/>
      <c r="F25" s="121"/>
      <c r="G25" s="17" t="s">
        <v>90</v>
      </c>
      <c r="H25" s="17"/>
      <c r="I25" s="17"/>
      <c r="J25" s="17"/>
      <c r="K25" s="17"/>
      <c r="L25" s="17"/>
      <c r="M25" s="22">
        <f>6/7*100</f>
        <v>85.714285714285708</v>
      </c>
      <c r="N25" s="22"/>
      <c r="O25" s="22"/>
      <c r="P25" s="23">
        <f>1/7*100</f>
        <v>14.285714285714285</v>
      </c>
      <c r="Q25" s="121"/>
      <c r="R25" s="121"/>
      <c r="S25" s="121"/>
      <c r="T25" s="121"/>
      <c r="U25" s="121"/>
      <c r="V25" s="132"/>
      <c r="W25" s="121"/>
      <c r="X25" s="121"/>
      <c r="Y25" s="121"/>
    </row>
    <row r="26" spans="2:25">
      <c r="B26" s="24"/>
      <c r="C26" s="25"/>
      <c r="D26" s="25"/>
      <c r="E26" s="25" t="s">
        <v>89</v>
      </c>
      <c r="F26" s="25">
        <v>25.7</v>
      </c>
      <c r="G26" s="25"/>
      <c r="H26" s="25"/>
      <c r="I26" s="25"/>
      <c r="J26" s="25"/>
      <c r="K26" s="25"/>
      <c r="L26" s="25"/>
      <c r="M26" s="25"/>
      <c r="N26" s="25"/>
      <c r="O26" s="25"/>
      <c r="P26" s="26"/>
      <c r="Q26" s="7" t="s">
        <v>64</v>
      </c>
      <c r="R26" s="7" t="s">
        <v>59</v>
      </c>
      <c r="S26" s="7" t="s">
        <v>58</v>
      </c>
      <c r="T26" s="8">
        <f>AVERAGE(T16:T19:T22)</f>
        <v>0.51568749999999997</v>
      </c>
      <c r="U26" s="8"/>
      <c r="V26" s="8">
        <f>AVERAGE(V14:V21,V24)</f>
        <v>0.41241666666666654</v>
      </c>
      <c r="W26" s="8"/>
      <c r="X26" s="8"/>
      <c r="Y26" s="8">
        <f>AVERAGE(Y22:Y25)</f>
        <v>1.3410000000000002</v>
      </c>
    </row>
    <row r="27" spans="2:25">
      <c r="Q27" s="4">
        <f>AVERAGE(Q14,Q8)</f>
        <v>0.39400000000000013</v>
      </c>
    </row>
    <row r="30" spans="2:25">
      <c r="B30" s="125" t="s">
        <v>92</v>
      </c>
      <c r="C30" s="125"/>
      <c r="D30" s="125"/>
      <c r="E30" s="125"/>
      <c r="F30" s="125"/>
      <c r="G30" s="125"/>
      <c r="H30" s="125"/>
      <c r="I30" s="125"/>
      <c r="J30" s="125"/>
      <c r="K30" s="125"/>
    </row>
    <row r="31" spans="2:25" ht="16" customHeight="1">
      <c r="B31" s="127" t="s">
        <v>108</v>
      </c>
      <c r="C31" s="127"/>
      <c r="D31" s="127"/>
      <c r="E31" s="127"/>
      <c r="F31" s="127"/>
      <c r="G31" s="127"/>
      <c r="H31" s="127"/>
      <c r="I31" s="127"/>
      <c r="J31" s="127"/>
      <c r="K31" s="127"/>
      <c r="L31" s="127"/>
      <c r="M31" s="127"/>
    </row>
    <row r="32" spans="2:25">
      <c r="B32" s="127"/>
      <c r="C32" s="127"/>
      <c r="D32" s="127"/>
      <c r="E32" s="127"/>
      <c r="F32" s="127"/>
      <c r="G32" s="127"/>
      <c r="H32" s="127"/>
      <c r="I32" s="127"/>
      <c r="J32" s="127"/>
      <c r="K32" s="127"/>
      <c r="L32" s="127"/>
      <c r="M32" s="127"/>
    </row>
    <row r="33" spans="2:13">
      <c r="B33" s="127"/>
      <c r="C33" s="127"/>
      <c r="D33" s="127"/>
      <c r="E33" s="127"/>
      <c r="F33" s="127"/>
      <c r="G33" s="127"/>
      <c r="H33" s="127"/>
      <c r="I33" s="127"/>
      <c r="J33" s="127"/>
      <c r="K33" s="127"/>
      <c r="L33" s="127"/>
      <c r="M33" s="127"/>
    </row>
    <row r="34" spans="2:13">
      <c r="B34" s="2"/>
      <c r="C34" s="2"/>
      <c r="D34" s="2"/>
      <c r="E34" s="2"/>
      <c r="F34" s="2"/>
      <c r="G34" s="2"/>
    </row>
    <row r="35" spans="2:13">
      <c r="B35" s="122" t="s">
        <v>107</v>
      </c>
      <c r="C35" s="122"/>
      <c r="D35" s="122"/>
      <c r="E35" s="122"/>
      <c r="F35" s="122"/>
      <c r="G35" s="122"/>
      <c r="H35" s="122"/>
      <c r="I35" s="122"/>
      <c r="J35" s="122"/>
      <c r="K35" s="122"/>
    </row>
    <row r="36" spans="2:13" ht="16" customHeight="1">
      <c r="B36" s="126" t="s">
        <v>109</v>
      </c>
      <c r="C36" s="126"/>
      <c r="D36" s="126"/>
      <c r="E36" s="126"/>
      <c r="F36" s="126"/>
      <c r="G36" s="126"/>
      <c r="H36" s="126"/>
      <c r="I36" s="126"/>
      <c r="J36" s="126"/>
      <c r="K36" s="126"/>
      <c r="L36" s="126"/>
      <c r="M36" s="126"/>
    </row>
    <row r="37" spans="2:13">
      <c r="B37" s="126"/>
      <c r="C37" s="126"/>
      <c r="D37" s="126"/>
      <c r="E37" s="126"/>
      <c r="F37" s="126"/>
      <c r="G37" s="126"/>
      <c r="H37" s="126"/>
      <c r="I37" s="126"/>
      <c r="J37" s="126"/>
      <c r="K37" s="126"/>
      <c r="L37" s="126"/>
      <c r="M37" s="126"/>
    </row>
    <row r="38" spans="2:13">
      <c r="B38" s="123" t="s">
        <v>110</v>
      </c>
      <c r="C38" s="123"/>
      <c r="D38" s="123"/>
      <c r="E38" s="123"/>
      <c r="F38" s="123"/>
      <c r="G38" s="123"/>
      <c r="H38" s="123"/>
      <c r="I38" s="123"/>
      <c r="J38" s="123"/>
      <c r="K38" s="123"/>
    </row>
    <row r="39" spans="2:13" ht="35" customHeight="1">
      <c r="B39" s="117" t="s">
        <v>111</v>
      </c>
      <c r="C39" s="117"/>
      <c r="D39" s="117"/>
      <c r="E39" s="117"/>
      <c r="F39" s="117"/>
      <c r="G39" s="117"/>
      <c r="H39" s="117"/>
      <c r="I39" s="117"/>
      <c r="J39" s="117"/>
      <c r="K39" s="117"/>
      <c r="L39" s="117"/>
      <c r="M39" s="117"/>
    </row>
    <row r="40" spans="2:13">
      <c r="B40" s="4" t="s">
        <v>112</v>
      </c>
    </row>
    <row r="41" spans="2:13">
      <c r="B41" s="117" t="s">
        <v>113</v>
      </c>
      <c r="C41" s="117"/>
      <c r="D41" s="117"/>
      <c r="E41" s="117"/>
      <c r="F41" s="117"/>
      <c r="G41" s="117"/>
      <c r="H41" s="117"/>
      <c r="I41" s="117"/>
      <c r="J41" s="117"/>
      <c r="K41" s="117"/>
      <c r="L41" s="117"/>
      <c r="M41" s="117"/>
    </row>
    <row r="42" spans="2:13">
      <c r="B42" s="117"/>
      <c r="C42" s="117"/>
      <c r="D42" s="117"/>
      <c r="E42" s="117"/>
      <c r="F42" s="117"/>
      <c r="G42" s="117"/>
      <c r="H42" s="117"/>
      <c r="I42" s="117"/>
      <c r="J42" s="117"/>
      <c r="K42" s="117"/>
      <c r="L42" s="117"/>
      <c r="M42" s="117"/>
    </row>
    <row r="43" spans="2:13">
      <c r="B43" s="117"/>
      <c r="C43" s="117"/>
      <c r="D43" s="117"/>
      <c r="E43" s="117"/>
      <c r="F43" s="117"/>
      <c r="G43" s="117"/>
      <c r="H43" s="117"/>
      <c r="I43" s="117"/>
      <c r="J43" s="117"/>
      <c r="K43" s="117"/>
      <c r="L43" s="117"/>
      <c r="M43" s="117"/>
    </row>
  </sheetData>
  <mergeCells count="141">
    <mergeCell ref="B36:M37"/>
    <mergeCell ref="B31:M33"/>
    <mergeCell ref="B6:B7"/>
    <mergeCell ref="C6:C7"/>
    <mergeCell ref="D6:D7"/>
    <mergeCell ref="E6:E7"/>
    <mergeCell ref="F6:F7"/>
    <mergeCell ref="G6:G7"/>
    <mergeCell ref="Q6:Y6"/>
    <mergeCell ref="V22:V23"/>
    <mergeCell ref="W22:W23"/>
    <mergeCell ref="X22:X23"/>
    <mergeCell ref="Y22:Y23"/>
    <mergeCell ref="Q24:Q25"/>
    <mergeCell ref="R24:R25"/>
    <mergeCell ref="S24:S25"/>
    <mergeCell ref="T24:T25"/>
    <mergeCell ref="U24:U25"/>
    <mergeCell ref="V24:V25"/>
    <mergeCell ref="W24:W25"/>
    <mergeCell ref="X24:X25"/>
    <mergeCell ref="Y24:Y25"/>
    <mergeCell ref="Q22:Q23"/>
    <mergeCell ref="R22:R23"/>
    <mergeCell ref="S22:S23"/>
    <mergeCell ref="T22:T23"/>
    <mergeCell ref="U22:U23"/>
    <mergeCell ref="V18:V19"/>
    <mergeCell ref="W18:W19"/>
    <mergeCell ref="X18:X19"/>
    <mergeCell ref="Y18:Y19"/>
    <mergeCell ref="Q20:Q21"/>
    <mergeCell ref="R20:R21"/>
    <mergeCell ref="S20:S21"/>
    <mergeCell ref="T20:T21"/>
    <mergeCell ref="U20:U21"/>
    <mergeCell ref="V20:V21"/>
    <mergeCell ref="W20:W21"/>
    <mergeCell ref="X20:X21"/>
    <mergeCell ref="Y20:Y21"/>
    <mergeCell ref="Q18:Q19"/>
    <mergeCell ref="R18:R19"/>
    <mergeCell ref="S18:S19"/>
    <mergeCell ref="T18:T19"/>
    <mergeCell ref="U18:U19"/>
    <mergeCell ref="V14:V15"/>
    <mergeCell ref="W14:W15"/>
    <mergeCell ref="X14:X15"/>
    <mergeCell ref="Y14:Y15"/>
    <mergeCell ref="Q16:Q17"/>
    <mergeCell ref="R16:R17"/>
    <mergeCell ref="S16:S17"/>
    <mergeCell ref="T16:T17"/>
    <mergeCell ref="U16:U17"/>
    <mergeCell ref="V16:V17"/>
    <mergeCell ref="W16:W17"/>
    <mergeCell ref="X16:X17"/>
    <mergeCell ref="Y16:Y17"/>
    <mergeCell ref="Q14:Q15"/>
    <mergeCell ref="R14:R15"/>
    <mergeCell ref="S14:S15"/>
    <mergeCell ref="T14:T15"/>
    <mergeCell ref="U14:U15"/>
    <mergeCell ref="V10:V11"/>
    <mergeCell ref="W10:W11"/>
    <mergeCell ref="X10:X11"/>
    <mergeCell ref="Y10:Y11"/>
    <mergeCell ref="Q12:Q13"/>
    <mergeCell ref="R12:R13"/>
    <mergeCell ref="S12:S13"/>
    <mergeCell ref="T12:T13"/>
    <mergeCell ref="U12:U13"/>
    <mergeCell ref="V12:V13"/>
    <mergeCell ref="W12:W13"/>
    <mergeCell ref="X12:X13"/>
    <mergeCell ref="Y12:Y13"/>
    <mergeCell ref="B30:K30"/>
    <mergeCell ref="Q10:Q11"/>
    <mergeCell ref="Y8:Y9"/>
    <mergeCell ref="X8:X9"/>
    <mergeCell ref="W8:W9"/>
    <mergeCell ref="V8:V9"/>
    <mergeCell ref="U8:U9"/>
    <mergeCell ref="T8:T9"/>
    <mergeCell ref="S8:S9"/>
    <mergeCell ref="R8:R9"/>
    <mergeCell ref="Q8:Q9"/>
    <mergeCell ref="R10:R11"/>
    <mergeCell ref="S10:S11"/>
    <mergeCell ref="T10:T11"/>
    <mergeCell ref="U10:U11"/>
    <mergeCell ref="C22:C23"/>
    <mergeCell ref="C24:C25"/>
    <mergeCell ref="B24:B25"/>
    <mergeCell ref="B22:B23"/>
    <mergeCell ref="F24:F25"/>
    <mergeCell ref="E24:E25"/>
    <mergeCell ref="D24:D25"/>
    <mergeCell ref="F22:F23"/>
    <mergeCell ref="D16:D17"/>
    <mergeCell ref="B14:B15"/>
    <mergeCell ref="F14:F15"/>
    <mergeCell ref="E14:E15"/>
    <mergeCell ref="D14:D15"/>
    <mergeCell ref="C14:C15"/>
    <mergeCell ref="E22:E23"/>
    <mergeCell ref="D22:D23"/>
    <mergeCell ref="F20:F21"/>
    <mergeCell ref="E20:E21"/>
    <mergeCell ref="D20:D21"/>
    <mergeCell ref="C20:C21"/>
    <mergeCell ref="B20:B21"/>
    <mergeCell ref="B18:B19"/>
    <mergeCell ref="F18:F19"/>
    <mergeCell ref="E18:E19"/>
    <mergeCell ref="D18:D19"/>
    <mergeCell ref="C18:C19"/>
    <mergeCell ref="B39:M39"/>
    <mergeCell ref="B41:M43"/>
    <mergeCell ref="H6:P6"/>
    <mergeCell ref="B8:B9"/>
    <mergeCell ref="D8:D9"/>
    <mergeCell ref="E8:E9"/>
    <mergeCell ref="C8:C9"/>
    <mergeCell ref="F8:F9"/>
    <mergeCell ref="B35:K35"/>
    <mergeCell ref="B38:K38"/>
    <mergeCell ref="B12:B13"/>
    <mergeCell ref="C12:C13"/>
    <mergeCell ref="F12:F13"/>
    <mergeCell ref="E12:E13"/>
    <mergeCell ref="D12:D13"/>
    <mergeCell ref="B10:B11"/>
    <mergeCell ref="C10:C11"/>
    <mergeCell ref="D10:D11"/>
    <mergeCell ref="E10:E11"/>
    <mergeCell ref="F10:F11"/>
    <mergeCell ref="B16:B17"/>
    <mergeCell ref="F16:F17"/>
    <mergeCell ref="E16:E17"/>
    <mergeCell ref="C16:C17"/>
  </mergeCells>
  <hyperlinks>
    <hyperlink ref="C3" r:id="rId1" xr:uid="{63B72AE5-4AD0-934A-BE7B-D1600FAA98EA}"/>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79AF32-1A3A-FC44-8325-A7E33B775C26}">
  <sheetPr codeName="Sheet2"/>
  <dimension ref="B2:M12"/>
  <sheetViews>
    <sheetView tabSelected="1" zoomScaleNormal="100" workbookViewId="0">
      <selection activeCell="A5" sqref="A5"/>
    </sheetView>
  </sheetViews>
  <sheetFormatPr baseColWidth="10" defaultRowHeight="16"/>
  <cols>
    <col min="1" max="1" width="10.83203125" style="2"/>
    <col min="2" max="2" width="28.83203125" style="12" bestFit="1" customWidth="1"/>
    <col min="3" max="3" width="25.6640625" style="2" customWidth="1"/>
    <col min="4" max="4" width="19.5" style="2" customWidth="1"/>
    <col min="5" max="5" width="21.5" style="2" customWidth="1"/>
    <col min="6" max="6" width="33.83203125" style="2" customWidth="1"/>
    <col min="7" max="7" width="29.6640625" style="2" customWidth="1"/>
    <col min="8" max="8" width="28.33203125" style="2" customWidth="1"/>
    <col min="9" max="9" width="24.1640625" style="2" customWidth="1"/>
    <col min="10" max="12" width="31.83203125" style="2" customWidth="1"/>
    <col min="13" max="13" width="33" style="2" customWidth="1"/>
    <col min="14" max="16384" width="10.83203125" style="2"/>
  </cols>
  <sheetData>
    <row r="2" spans="2:13">
      <c r="B2" s="27" t="s">
        <v>57</v>
      </c>
      <c r="C2" s="28" t="s">
        <v>63</v>
      </c>
      <c r="D2" s="133" t="s">
        <v>56</v>
      </c>
      <c r="E2" s="133"/>
      <c r="F2" s="29" t="s">
        <v>67</v>
      </c>
      <c r="G2" s="29" t="s">
        <v>71</v>
      </c>
      <c r="H2" s="135" t="s">
        <v>78</v>
      </c>
      <c r="I2" s="135"/>
      <c r="J2" s="29" t="s">
        <v>73</v>
      </c>
      <c r="K2" s="29" t="s">
        <v>84</v>
      </c>
      <c r="L2" s="29" t="s">
        <v>77</v>
      </c>
      <c r="M2" s="30" t="s">
        <v>76</v>
      </c>
    </row>
    <row r="3" spans="2:13">
      <c r="B3" s="31" t="s">
        <v>60</v>
      </c>
      <c r="C3" s="32" t="s">
        <v>64</v>
      </c>
      <c r="D3" s="134" t="s">
        <v>55</v>
      </c>
      <c r="E3" s="134"/>
      <c r="F3" s="1" t="s">
        <v>68</v>
      </c>
      <c r="G3" s="1" t="s">
        <v>72</v>
      </c>
      <c r="H3" s="136" t="s">
        <v>79</v>
      </c>
      <c r="I3" s="136"/>
      <c r="J3" s="1" t="s">
        <v>74</v>
      </c>
      <c r="K3" s="1" t="s">
        <v>85</v>
      </c>
      <c r="L3" s="1" t="s">
        <v>3</v>
      </c>
      <c r="M3" s="33" t="s">
        <v>4</v>
      </c>
    </row>
    <row r="4" spans="2:13" ht="172" customHeight="1">
      <c r="B4" s="31" t="s">
        <v>15</v>
      </c>
      <c r="C4" s="32"/>
      <c r="D4" s="134"/>
      <c r="E4" s="134"/>
      <c r="F4" s="1"/>
      <c r="G4" s="1"/>
      <c r="H4" s="136"/>
      <c r="I4" s="136"/>
      <c r="J4" s="1"/>
      <c r="K4" s="1"/>
      <c r="L4" s="1"/>
      <c r="M4" s="33"/>
    </row>
    <row r="5" spans="2:13">
      <c r="B5" s="31" t="s">
        <v>96</v>
      </c>
      <c r="C5" s="32" t="s">
        <v>65</v>
      </c>
      <c r="D5" s="34" t="s">
        <v>58</v>
      </c>
      <c r="E5" s="34" t="s">
        <v>59</v>
      </c>
      <c r="F5" s="1" t="s">
        <v>69</v>
      </c>
      <c r="G5" s="1" t="s">
        <v>50</v>
      </c>
      <c r="H5" s="1" t="s">
        <v>52</v>
      </c>
      <c r="I5" s="1" t="s">
        <v>83</v>
      </c>
      <c r="J5" s="1" t="s">
        <v>51</v>
      </c>
      <c r="K5" s="1" t="s">
        <v>88</v>
      </c>
      <c r="L5" s="1" t="s">
        <v>3</v>
      </c>
      <c r="M5" s="33" t="s">
        <v>4</v>
      </c>
    </row>
    <row r="6" spans="2:13" s="3" customFormat="1" ht="85">
      <c r="B6" s="35" t="s">
        <v>62</v>
      </c>
      <c r="C6" s="36" t="s">
        <v>66</v>
      </c>
      <c r="D6" s="37" t="s">
        <v>61</v>
      </c>
      <c r="E6" s="37" t="s">
        <v>80</v>
      </c>
      <c r="F6" s="38" t="s">
        <v>70</v>
      </c>
      <c r="G6" s="38" t="s">
        <v>86</v>
      </c>
      <c r="H6" s="38" t="s">
        <v>81</v>
      </c>
      <c r="I6" s="38" t="s">
        <v>82</v>
      </c>
      <c r="J6" s="38" t="s">
        <v>75</v>
      </c>
      <c r="K6" s="38" t="s">
        <v>87</v>
      </c>
      <c r="L6" s="38" t="s">
        <v>87</v>
      </c>
      <c r="M6" s="39" t="s">
        <v>87</v>
      </c>
    </row>
    <row r="7" spans="2:13">
      <c r="B7" s="40" t="s">
        <v>98</v>
      </c>
      <c r="C7" s="1" t="s">
        <v>97</v>
      </c>
      <c r="D7" s="41" t="s">
        <v>101</v>
      </c>
      <c r="E7" s="41" t="s">
        <v>101</v>
      </c>
      <c r="F7" s="1" t="s">
        <v>99</v>
      </c>
      <c r="G7" s="41" t="s">
        <v>101</v>
      </c>
      <c r="H7" s="41" t="s">
        <v>101</v>
      </c>
      <c r="I7" s="41" t="s">
        <v>101</v>
      </c>
      <c r="J7" s="41" t="s">
        <v>101</v>
      </c>
      <c r="K7" s="41" t="s">
        <v>101</v>
      </c>
      <c r="L7" s="41" t="s">
        <v>101</v>
      </c>
      <c r="M7" s="42" t="s">
        <v>101</v>
      </c>
    </row>
    <row r="8" spans="2:13" s="4" customFormat="1" ht="16" customHeight="1">
      <c r="B8" s="139" t="s">
        <v>106</v>
      </c>
      <c r="C8" s="141" t="s">
        <v>139</v>
      </c>
      <c r="D8" s="141"/>
      <c r="E8" s="141"/>
      <c r="F8" s="141" t="s">
        <v>100</v>
      </c>
      <c r="G8" s="121" t="s">
        <v>102</v>
      </c>
      <c r="H8" s="141" t="s">
        <v>138</v>
      </c>
      <c r="I8" s="141"/>
      <c r="J8" s="121" t="s">
        <v>103</v>
      </c>
      <c r="K8" s="121" t="s">
        <v>103</v>
      </c>
      <c r="L8" s="121" t="s">
        <v>105</v>
      </c>
      <c r="M8" s="137" t="s">
        <v>104</v>
      </c>
    </row>
    <row r="9" spans="2:13" s="4" customFormat="1" ht="82" customHeight="1">
      <c r="B9" s="140"/>
      <c r="C9" s="142"/>
      <c r="D9" s="142"/>
      <c r="E9" s="142"/>
      <c r="F9" s="142"/>
      <c r="G9" s="143"/>
      <c r="H9" s="142"/>
      <c r="I9" s="142"/>
      <c r="J9" s="143"/>
      <c r="K9" s="143"/>
      <c r="L9" s="143"/>
      <c r="M9" s="138"/>
    </row>
    <row r="12" spans="2:13">
      <c r="B12" s="13" t="s">
        <v>115</v>
      </c>
    </row>
  </sheetData>
  <mergeCells count="15">
    <mergeCell ref="M8:M9"/>
    <mergeCell ref="B8:B9"/>
    <mergeCell ref="C8:E9"/>
    <mergeCell ref="F8:F9"/>
    <mergeCell ref="G8:G9"/>
    <mergeCell ref="H8:I9"/>
    <mergeCell ref="L8:L9"/>
    <mergeCell ref="K8:K9"/>
    <mergeCell ref="J8:J9"/>
    <mergeCell ref="D2:E2"/>
    <mergeCell ref="D3:E3"/>
    <mergeCell ref="D4:E4"/>
    <mergeCell ref="H2:I2"/>
    <mergeCell ref="H4:I4"/>
    <mergeCell ref="H3:I3"/>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62ABCA-5C43-BE44-A746-9CF55D0E4D06}">
  <sheetPr codeName="Sheet3"/>
  <dimension ref="B2:R38"/>
  <sheetViews>
    <sheetView workbookViewId="0">
      <selection activeCell="D4" sqref="D4"/>
    </sheetView>
  </sheetViews>
  <sheetFormatPr baseColWidth="10" defaultRowHeight="16"/>
  <cols>
    <col min="1" max="1" width="8.6640625" style="2" customWidth="1"/>
    <col min="2" max="2" width="24" style="2" bestFit="1" customWidth="1"/>
    <col min="3" max="3" width="10.1640625" style="12" bestFit="1" customWidth="1"/>
    <col min="4" max="4" width="12.33203125" style="12" bestFit="1" customWidth="1"/>
    <col min="5" max="5" width="9.6640625" style="2" bestFit="1" customWidth="1"/>
    <col min="6" max="6" width="11" style="2" bestFit="1" customWidth="1"/>
    <col min="7" max="7" width="11.83203125" style="62" bestFit="1" customWidth="1"/>
    <col min="8" max="8" width="11" style="2" bestFit="1" customWidth="1"/>
    <col min="9" max="9" width="78.33203125" style="2" bestFit="1" customWidth="1"/>
    <col min="10" max="16384" width="10.83203125" style="2"/>
  </cols>
  <sheetData>
    <row r="2" spans="2:18">
      <c r="B2" s="43" t="s">
        <v>57</v>
      </c>
      <c r="C2" s="44" t="s">
        <v>122</v>
      </c>
      <c r="D2" s="44" t="s">
        <v>123</v>
      </c>
      <c r="E2" s="45" t="s">
        <v>116</v>
      </c>
      <c r="F2" s="46" t="s">
        <v>117</v>
      </c>
      <c r="G2" s="45" t="s">
        <v>118</v>
      </c>
      <c r="H2" s="47" t="s">
        <v>119</v>
      </c>
      <c r="I2" s="16" t="s">
        <v>124</v>
      </c>
    </row>
    <row r="3" spans="2:18">
      <c r="B3" s="48" t="str">
        <f>BPCA!D2</f>
        <v>Trimellitic Acid</v>
      </c>
      <c r="C3" s="49" t="s">
        <v>1</v>
      </c>
      <c r="D3" s="49" t="str">
        <f>BPCA!C5</f>
        <v xml:space="preserve">B2CA-1 </v>
      </c>
      <c r="E3" s="50">
        <v>4.321199577936561E-2</v>
      </c>
      <c r="F3" s="50">
        <v>3.6387734810022998E-2</v>
      </c>
      <c r="G3" s="50">
        <v>2.0070599778316559E-2</v>
      </c>
      <c r="H3" s="51">
        <v>1.7798234948509826E-2</v>
      </c>
      <c r="I3" s="69" t="s">
        <v>126</v>
      </c>
      <c r="P3" s="65"/>
      <c r="Q3" s="62"/>
      <c r="R3" s="65"/>
    </row>
    <row r="4" spans="2:18">
      <c r="B4" s="52" t="str">
        <f>BPCA!G2</f>
        <v>Hemimellitic Acid</v>
      </c>
      <c r="C4" s="49" t="s">
        <v>1</v>
      </c>
      <c r="D4" s="53" t="str">
        <f>BPCA!G5</f>
        <v>B3CA-2</v>
      </c>
      <c r="E4" s="50">
        <v>4.2329257225562467E-2</v>
      </c>
      <c r="F4" s="50">
        <v>4.4636780737949994E-2</v>
      </c>
      <c r="G4" s="50">
        <v>3.6991694274753913E-2</v>
      </c>
      <c r="H4" s="51">
        <v>2.4694548368630526E-2</v>
      </c>
      <c r="P4" s="65"/>
      <c r="Q4" s="62"/>
      <c r="R4" s="65"/>
    </row>
    <row r="5" spans="2:18">
      <c r="B5" s="48" t="str">
        <f>BPCA!H2</f>
        <v>Mellophanic Acid</v>
      </c>
      <c r="C5" s="53" t="s">
        <v>2</v>
      </c>
      <c r="D5" s="53" t="str">
        <f>BPCA!G5</f>
        <v>B3CA-2</v>
      </c>
      <c r="E5" s="50">
        <v>0.10699718974372603</v>
      </c>
      <c r="F5" s="50">
        <v>6.5871184329614613E-2</v>
      </c>
      <c r="G5" s="50">
        <v>3.0163575084952359E-2</v>
      </c>
      <c r="H5" s="51">
        <v>2.1794092876482856E-3</v>
      </c>
      <c r="I5" s="2" t="s">
        <v>125</v>
      </c>
      <c r="P5" s="65"/>
      <c r="Q5" s="62"/>
      <c r="R5" s="65"/>
    </row>
    <row r="6" spans="2:18">
      <c r="B6" s="52" t="str">
        <f>BPCA!J2</f>
        <v>Pyromellitic Acid</v>
      </c>
      <c r="C6" s="49" t="s">
        <v>2</v>
      </c>
      <c r="D6" s="49" t="str">
        <f>BPCA!J5</f>
        <v>B4CA-2</v>
      </c>
      <c r="E6" s="50">
        <v>6.7677328466173317E-2</v>
      </c>
      <c r="F6" s="50">
        <v>5.7585518231114477E-2</v>
      </c>
      <c r="G6" s="50">
        <v>3.4547196647557121E-2</v>
      </c>
      <c r="H6" s="51">
        <v>7.4240498269105603E-3</v>
      </c>
      <c r="P6" s="65"/>
      <c r="Q6" s="62"/>
      <c r="R6" s="65"/>
    </row>
    <row r="7" spans="2:18" ht="15" customHeight="1">
      <c r="B7" s="52" t="str">
        <f>BPCA!K2</f>
        <v>Prehnitic Acid</v>
      </c>
      <c r="C7" s="49" t="s">
        <v>2</v>
      </c>
      <c r="D7" s="49" t="str">
        <f>BPCA!K5</f>
        <v>B4CA-3</v>
      </c>
      <c r="E7" s="50">
        <v>0.15332365253896416</v>
      </c>
      <c r="F7" s="50">
        <v>0.14211236193881485</v>
      </c>
      <c r="G7" s="50">
        <v>0.1300441334632115</v>
      </c>
      <c r="H7" s="51">
        <v>9.9811377982015628E-2</v>
      </c>
      <c r="P7" s="65"/>
      <c r="Q7" s="62"/>
      <c r="R7" s="65"/>
    </row>
    <row r="8" spans="2:18">
      <c r="B8" s="54" t="str">
        <f>BPCA!L2</f>
        <v>Benzenepentacarcoxylic acid</v>
      </c>
      <c r="C8" s="49" t="s">
        <v>3</v>
      </c>
      <c r="D8" s="49" t="str">
        <f>BPCA!L5</f>
        <v>B5CA</v>
      </c>
      <c r="E8" s="50">
        <v>0.36028783063541181</v>
      </c>
      <c r="F8" s="50">
        <v>0.35258252683498492</v>
      </c>
      <c r="G8" s="50">
        <v>0.3249240329328747</v>
      </c>
      <c r="H8" s="51">
        <v>0.30986523757109552</v>
      </c>
      <c r="N8" s="62"/>
      <c r="O8" s="62"/>
    </row>
    <row r="9" spans="2:18">
      <c r="B9" s="54" t="str">
        <f>BPCA!M2</f>
        <v>Mellitic acid</v>
      </c>
      <c r="C9" s="49" t="s">
        <v>4</v>
      </c>
      <c r="D9" s="49" t="str">
        <f>BPCA!M5</f>
        <v>B6CA</v>
      </c>
      <c r="E9" s="50">
        <v>0.22617274561079651</v>
      </c>
      <c r="F9" s="50">
        <v>0.30082389311749813</v>
      </c>
      <c r="G9" s="50">
        <v>0.42325876781833377</v>
      </c>
      <c r="H9" s="51">
        <v>0.53822714201518951</v>
      </c>
      <c r="N9" s="62"/>
      <c r="O9" s="62"/>
    </row>
    <row r="10" spans="2:18">
      <c r="B10" s="147" t="s">
        <v>120</v>
      </c>
      <c r="C10" s="148"/>
      <c r="D10" s="148"/>
      <c r="E10" s="55">
        <f>SUM(E3:E9)</f>
        <v>0.99999999999999989</v>
      </c>
      <c r="F10" s="55">
        <f t="shared" ref="F10:H10" si="0">SUM(F3:F9)</f>
        <v>1</v>
      </c>
      <c r="G10" s="55">
        <f t="shared" si="0"/>
        <v>0.99999999999999978</v>
      </c>
      <c r="H10" s="56">
        <f t="shared" si="0"/>
        <v>0.99999999999999989</v>
      </c>
      <c r="N10" s="62"/>
      <c r="O10" s="62"/>
    </row>
    <row r="11" spans="2:18">
      <c r="B11" s="16"/>
      <c r="C11" s="16"/>
      <c r="D11" s="16"/>
      <c r="E11" s="62"/>
      <c r="F11" s="62"/>
      <c r="H11" s="62"/>
      <c r="N11" s="62"/>
      <c r="O11" s="62"/>
    </row>
    <row r="12" spans="2:18">
      <c r="B12" s="149" t="s">
        <v>134</v>
      </c>
      <c r="C12" s="150"/>
      <c r="D12" s="150"/>
      <c r="E12" s="150"/>
      <c r="F12" s="150"/>
      <c r="G12" s="150"/>
      <c r="H12" s="151"/>
      <c r="N12" s="62"/>
      <c r="O12" s="62"/>
    </row>
    <row r="13" spans="2:18">
      <c r="B13" s="57" t="s">
        <v>57</v>
      </c>
      <c r="C13" s="58" t="s">
        <v>122</v>
      </c>
      <c r="D13" s="58" t="s">
        <v>123</v>
      </c>
      <c r="E13" s="59" t="s">
        <v>116</v>
      </c>
      <c r="F13" s="60" t="s">
        <v>117</v>
      </c>
      <c r="G13" s="59" t="s">
        <v>118</v>
      </c>
      <c r="H13" s="61" t="s">
        <v>119</v>
      </c>
      <c r="N13" s="62"/>
      <c r="O13" s="62"/>
    </row>
    <row r="14" spans="2:18">
      <c r="B14" s="48" t="s">
        <v>56</v>
      </c>
      <c r="C14" s="49" t="s">
        <v>1</v>
      </c>
      <c r="D14" s="49" t="s">
        <v>65</v>
      </c>
      <c r="E14" s="50">
        <v>1.452008162960407E-3</v>
      </c>
      <c r="F14" s="50">
        <v>7.3890280749442793E-4</v>
      </c>
      <c r="G14" s="50">
        <v>8.1329800487500909E-4</v>
      </c>
      <c r="H14" s="51">
        <v>3.3752394696415617E-3</v>
      </c>
      <c r="N14" s="62"/>
      <c r="O14" s="62"/>
    </row>
    <row r="15" spans="2:18">
      <c r="B15" s="52" t="s">
        <v>71</v>
      </c>
      <c r="C15" s="49" t="s">
        <v>1</v>
      </c>
      <c r="D15" s="53" t="s">
        <v>50</v>
      </c>
      <c r="E15" s="50">
        <v>3.6399933731031862E-3</v>
      </c>
      <c r="F15" s="50">
        <v>1.32359954754977E-3</v>
      </c>
      <c r="G15" s="50">
        <v>3.8215538618423866E-3</v>
      </c>
      <c r="H15" s="51">
        <v>2.2123069970848654E-3</v>
      </c>
      <c r="N15" s="62"/>
      <c r="O15" s="62"/>
    </row>
    <row r="16" spans="2:18">
      <c r="B16" s="48" t="s">
        <v>78</v>
      </c>
      <c r="C16" s="53" t="s">
        <v>2</v>
      </c>
      <c r="D16" s="53" t="s">
        <v>50</v>
      </c>
      <c r="E16" s="50">
        <v>3.4369818044473206E-2</v>
      </c>
      <c r="F16" s="50">
        <v>4.725884096319171E-3</v>
      </c>
      <c r="G16" s="50">
        <v>2.8366255764284815E-3</v>
      </c>
      <c r="H16" s="51">
        <v>3.2976936043493065E-4</v>
      </c>
      <c r="N16" s="62"/>
      <c r="O16" s="62"/>
    </row>
    <row r="17" spans="2:18">
      <c r="B17" s="52" t="s">
        <v>73</v>
      </c>
      <c r="C17" s="49" t="s">
        <v>2</v>
      </c>
      <c r="D17" s="49" t="s">
        <v>51</v>
      </c>
      <c r="E17" s="50">
        <v>6.4134346735433378E-4</v>
      </c>
      <c r="F17" s="50">
        <v>4.44949241933013E-4</v>
      </c>
      <c r="G17" s="50">
        <v>1.4903963010309616E-3</v>
      </c>
      <c r="H17" s="51">
        <v>1.9634220262432674E-3</v>
      </c>
      <c r="N17" s="62"/>
      <c r="O17" s="62"/>
    </row>
    <row r="18" spans="2:18">
      <c r="B18" s="52" t="s">
        <v>84</v>
      </c>
      <c r="C18" s="49" t="s">
        <v>2</v>
      </c>
      <c r="D18" s="49" t="s">
        <v>88</v>
      </c>
      <c r="E18" s="50">
        <v>4.2218260434022901E-2</v>
      </c>
      <c r="F18" s="50">
        <v>4.3619769626533174E-3</v>
      </c>
      <c r="G18" s="50">
        <v>4.8679067158982174E-3</v>
      </c>
      <c r="H18" s="51">
        <v>1.5722680239762876E-2</v>
      </c>
      <c r="N18" s="62"/>
      <c r="O18" s="62"/>
    </row>
    <row r="19" spans="2:18">
      <c r="B19" s="54" t="s">
        <v>77</v>
      </c>
      <c r="C19" s="49" t="s">
        <v>3</v>
      </c>
      <c r="D19" s="49" t="s">
        <v>3</v>
      </c>
      <c r="E19" s="50">
        <v>2.7555996511292324E-2</v>
      </c>
      <c r="F19" s="50">
        <v>5.1746708639145347E-3</v>
      </c>
      <c r="G19" s="50">
        <v>7.3795602804227027E-3</v>
      </c>
      <c r="H19" s="51">
        <v>5.4432833074832605E-2</v>
      </c>
      <c r="N19" s="62"/>
      <c r="O19" s="62"/>
      <c r="P19" s="62"/>
      <c r="Q19" s="62"/>
      <c r="R19" s="62"/>
    </row>
    <row r="20" spans="2:18">
      <c r="B20" s="54" t="s">
        <v>76</v>
      </c>
      <c r="C20" s="49" t="s">
        <v>4</v>
      </c>
      <c r="D20" s="49" t="s">
        <v>4</v>
      </c>
      <c r="E20" s="50">
        <v>4.460973667386943E-2</v>
      </c>
      <c r="F20" s="50">
        <v>5.5307433081690401E-3</v>
      </c>
      <c r="G20" s="50">
        <v>5.8422164928758347E-3</v>
      </c>
      <c r="H20" s="51">
        <v>7.7360877544426734E-2</v>
      </c>
      <c r="P20" s="62"/>
      <c r="Q20" s="62"/>
      <c r="R20" s="62"/>
    </row>
    <row r="21" spans="2:18">
      <c r="B21" s="149" t="s">
        <v>137</v>
      </c>
      <c r="C21" s="150"/>
      <c r="D21" s="150"/>
      <c r="E21" s="150"/>
      <c r="F21" s="150"/>
      <c r="G21" s="150"/>
      <c r="H21" s="151"/>
      <c r="P21" s="62"/>
      <c r="Q21" s="62"/>
      <c r="R21" s="62"/>
    </row>
    <row r="22" spans="2:18">
      <c r="B22" s="154" t="s">
        <v>23</v>
      </c>
      <c r="C22" s="155"/>
      <c r="D22" s="155"/>
      <c r="E22" s="14">
        <v>0.51</v>
      </c>
      <c r="F22" s="14">
        <v>0.67333333333333334</v>
      </c>
      <c r="G22" s="14">
        <v>0.82</v>
      </c>
      <c r="H22" s="66">
        <v>0.78</v>
      </c>
      <c r="O22" s="63"/>
    </row>
    <row r="23" spans="2:18">
      <c r="B23" s="152" t="s">
        <v>0</v>
      </c>
      <c r="C23" s="153"/>
      <c r="D23" s="153"/>
      <c r="E23" s="67">
        <v>0.62707194387944809</v>
      </c>
      <c r="F23" s="67">
        <v>0.51179732492351981</v>
      </c>
      <c r="G23" s="67">
        <v>0.3664855234279874</v>
      </c>
      <c r="H23" s="68">
        <v>0.26424758936501019</v>
      </c>
      <c r="O23" s="63"/>
    </row>
    <row r="24" spans="2:18">
      <c r="B24" s="12"/>
      <c r="E24" s="63"/>
      <c r="F24" s="63"/>
      <c r="G24" s="63"/>
      <c r="H24" s="63"/>
      <c r="O24" s="63"/>
    </row>
    <row r="25" spans="2:18">
      <c r="Q25" s="62"/>
    </row>
    <row r="26" spans="2:18">
      <c r="B26" s="144" t="s">
        <v>154</v>
      </c>
      <c r="C26" s="145"/>
      <c r="D26" s="145"/>
      <c r="E26" s="146"/>
      <c r="F26" s="64"/>
      <c r="Q26" s="62"/>
    </row>
    <row r="27" spans="2:18">
      <c r="B27" s="75" t="s">
        <v>155</v>
      </c>
      <c r="C27" s="41" t="s">
        <v>135</v>
      </c>
      <c r="D27" s="41" t="s">
        <v>136</v>
      </c>
      <c r="E27" s="42" t="s">
        <v>0</v>
      </c>
      <c r="Q27" s="62"/>
    </row>
    <row r="28" spans="2:18">
      <c r="B28" s="54" t="s">
        <v>143</v>
      </c>
      <c r="C28" s="1">
        <v>107</v>
      </c>
      <c r="D28" s="1">
        <v>0</v>
      </c>
      <c r="E28" s="71">
        <f t="shared" ref="E28:E38" si="1">D28/C28</f>
        <v>0</v>
      </c>
    </row>
    <row r="29" spans="2:18">
      <c r="B29" s="54" t="s">
        <v>144</v>
      </c>
      <c r="C29" s="1">
        <v>78</v>
      </c>
      <c r="D29" s="1">
        <v>116</v>
      </c>
      <c r="E29" s="71">
        <f t="shared" si="1"/>
        <v>1.4871794871794872</v>
      </c>
    </row>
    <row r="30" spans="2:18">
      <c r="B30" s="54" t="s">
        <v>145</v>
      </c>
      <c r="C30" s="1">
        <v>107</v>
      </c>
      <c r="D30" s="1">
        <v>162</v>
      </c>
      <c r="E30" s="71">
        <f t="shared" si="1"/>
        <v>1.514018691588785</v>
      </c>
    </row>
    <row r="31" spans="2:18">
      <c r="B31" s="54" t="s">
        <v>146</v>
      </c>
      <c r="C31" s="1">
        <v>45</v>
      </c>
      <c r="D31" s="1">
        <v>74</v>
      </c>
      <c r="E31" s="71">
        <f t="shared" si="1"/>
        <v>1.6444444444444444</v>
      </c>
    </row>
    <row r="32" spans="2:18">
      <c r="B32" s="54" t="s">
        <v>147</v>
      </c>
      <c r="C32" s="1">
        <v>44</v>
      </c>
      <c r="D32" s="1">
        <v>74</v>
      </c>
      <c r="E32" s="71">
        <f t="shared" si="1"/>
        <v>1.6818181818181819</v>
      </c>
    </row>
    <row r="33" spans="2:5">
      <c r="B33" s="54" t="s">
        <v>148</v>
      </c>
      <c r="C33" s="1">
        <v>169</v>
      </c>
      <c r="D33" s="1">
        <v>224</v>
      </c>
      <c r="E33" s="71">
        <f t="shared" si="1"/>
        <v>1.3254437869822486</v>
      </c>
    </row>
    <row r="34" spans="2:5">
      <c r="B34" s="54" t="s">
        <v>149</v>
      </c>
      <c r="C34" s="1">
        <v>76</v>
      </c>
      <c r="D34" s="1">
        <v>112</v>
      </c>
      <c r="E34" s="71">
        <f t="shared" si="1"/>
        <v>1.4736842105263157</v>
      </c>
    </row>
    <row r="35" spans="2:5">
      <c r="B35" s="54" t="s">
        <v>150</v>
      </c>
      <c r="C35" s="1">
        <v>206</v>
      </c>
      <c r="D35" s="1">
        <v>274</v>
      </c>
      <c r="E35" s="71">
        <f t="shared" si="1"/>
        <v>1.3300970873786409</v>
      </c>
    </row>
    <row r="36" spans="2:5">
      <c r="B36" s="54" t="s">
        <v>151</v>
      </c>
      <c r="C36" s="1">
        <v>206</v>
      </c>
      <c r="D36" s="1">
        <v>0</v>
      </c>
      <c r="E36" s="71">
        <f t="shared" si="1"/>
        <v>0</v>
      </c>
    </row>
    <row r="37" spans="2:5">
      <c r="B37" s="54" t="s">
        <v>152</v>
      </c>
      <c r="C37" s="1">
        <v>76</v>
      </c>
      <c r="D37" s="1">
        <v>0</v>
      </c>
      <c r="E37" s="71">
        <f t="shared" si="1"/>
        <v>0</v>
      </c>
    </row>
    <row r="38" spans="2:5">
      <c r="B38" s="72" t="s">
        <v>153</v>
      </c>
      <c r="C38" s="73">
        <v>78</v>
      </c>
      <c r="D38" s="73">
        <v>0</v>
      </c>
      <c r="E38" s="74">
        <f t="shared" si="1"/>
        <v>0</v>
      </c>
    </row>
  </sheetData>
  <mergeCells count="6">
    <mergeCell ref="B26:E26"/>
    <mergeCell ref="B10:D10"/>
    <mergeCell ref="B12:H12"/>
    <mergeCell ref="B23:D23"/>
    <mergeCell ref="B22:D22"/>
    <mergeCell ref="B21:H2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05ED31-4C6C-0C48-999B-979E962E2EC9}">
  <dimension ref="A2:AD71"/>
  <sheetViews>
    <sheetView topLeftCell="A27" zoomScaleNormal="100" workbookViewId="0">
      <selection activeCell="H32" sqref="H32"/>
    </sheetView>
  </sheetViews>
  <sheetFormatPr baseColWidth="10" defaultRowHeight="16"/>
  <cols>
    <col min="1" max="1" width="8.6640625" style="78" customWidth="1"/>
    <col min="2" max="2" width="17" style="17" bestFit="1" customWidth="1"/>
    <col min="3" max="3" width="32.5" style="93" customWidth="1"/>
    <col min="4" max="4" width="31.83203125" style="17" bestFit="1" customWidth="1"/>
    <col min="5" max="5" width="10.83203125" style="17" customWidth="1"/>
    <col min="6" max="6" width="20.5" style="17" bestFit="1" customWidth="1"/>
    <col min="7" max="7" width="9.6640625" style="76" bestFit="1" customWidth="1"/>
    <col min="8" max="8" width="8.6640625" style="76" bestFit="1" customWidth="1"/>
    <col min="9" max="10" width="8.6640625" style="76" hidden="1" customWidth="1"/>
    <col min="11" max="11" width="10.1640625" style="76" customWidth="1"/>
    <col min="12" max="12" width="10.5" style="76" customWidth="1"/>
    <col min="13" max="13" width="9.83203125" style="76" customWidth="1"/>
    <col min="14" max="14" width="9.6640625" style="76" customWidth="1"/>
    <col min="15" max="15" width="17.33203125" style="17" customWidth="1"/>
    <col min="16" max="16" width="16.33203125" style="22" customWidth="1"/>
    <col min="17" max="18" width="10.83203125" style="17"/>
    <col min="19" max="19" width="10.83203125" style="88"/>
    <col min="20" max="20" width="12.83203125" style="88" customWidth="1"/>
    <col min="21" max="21" width="10.83203125" style="89"/>
    <col min="22" max="16384" width="10.83203125" style="1"/>
  </cols>
  <sheetData>
    <row r="2" spans="1:30">
      <c r="B2" s="157" t="s">
        <v>121</v>
      </c>
      <c r="C2" s="157"/>
      <c r="D2" s="157"/>
      <c r="E2" s="157"/>
      <c r="F2" s="157"/>
      <c r="G2" s="157"/>
      <c r="H2" s="157"/>
      <c r="I2" s="157"/>
      <c r="J2" s="157"/>
      <c r="K2" s="157"/>
      <c r="L2" s="157"/>
      <c r="M2" s="157"/>
      <c r="N2" s="157"/>
      <c r="O2" s="157"/>
      <c r="P2" s="157"/>
      <c r="Q2" s="157"/>
      <c r="R2" s="157"/>
      <c r="S2" s="157"/>
      <c r="T2" s="157"/>
      <c r="U2" s="157"/>
    </row>
    <row r="4" spans="1:30" s="79" customFormat="1" ht="26" customHeight="1">
      <c r="A4" s="158" t="s">
        <v>5</v>
      </c>
      <c r="B4" s="158"/>
      <c r="C4" s="158"/>
      <c r="D4" s="158"/>
      <c r="E4" s="158"/>
      <c r="F4" s="158"/>
      <c r="G4" s="158"/>
      <c r="H4" s="158"/>
      <c r="I4" s="158"/>
      <c r="J4" s="158"/>
      <c r="K4" s="158"/>
      <c r="L4" s="158"/>
      <c r="M4" s="158"/>
      <c r="N4" s="158"/>
      <c r="O4" s="158"/>
      <c r="P4" s="158"/>
      <c r="Q4" s="158"/>
      <c r="R4" s="158"/>
      <c r="S4" s="158"/>
      <c r="T4" s="158"/>
      <c r="U4" s="158"/>
    </row>
    <row r="5" spans="1:30" s="7" customFormat="1" ht="51">
      <c r="A5" s="15" t="s">
        <v>39</v>
      </c>
      <c r="B5" s="15" t="s">
        <v>6</v>
      </c>
      <c r="C5" s="15" t="s">
        <v>15</v>
      </c>
      <c r="D5" s="15" t="s">
        <v>23</v>
      </c>
      <c r="E5" s="15" t="s">
        <v>7</v>
      </c>
      <c r="F5" s="15" t="s">
        <v>8</v>
      </c>
      <c r="G5" s="80" t="str">
        <f>BPCA!C5</f>
        <v xml:space="preserve">B2CA-1 </v>
      </c>
      <c r="H5" s="80" t="str">
        <f>BPCA!G5</f>
        <v>B3CA-2</v>
      </c>
      <c r="I5" s="80" t="str">
        <f>BPCA!H5</f>
        <v>B3CA-3</v>
      </c>
      <c r="J5" s="80" t="str">
        <f>BPCA!I5</f>
        <v xml:space="preserve">B4CA-1 </v>
      </c>
      <c r="K5" s="80" t="str">
        <f>BPCA!J5</f>
        <v>B4CA-2</v>
      </c>
      <c r="L5" s="80" t="str">
        <f>BPCA!K5</f>
        <v>B4CA-3</v>
      </c>
      <c r="M5" s="80" t="str">
        <f>BPCA!L5</f>
        <v>B5CA</v>
      </c>
      <c r="N5" s="81" t="s">
        <v>4</v>
      </c>
      <c r="O5" s="82" t="s">
        <v>156</v>
      </c>
      <c r="P5" s="83" t="s">
        <v>9</v>
      </c>
      <c r="Q5" s="84" t="s">
        <v>10</v>
      </c>
      <c r="R5" s="84" t="s">
        <v>11</v>
      </c>
      <c r="S5" s="84" t="s">
        <v>12</v>
      </c>
      <c r="T5" s="84" t="s">
        <v>13</v>
      </c>
      <c r="U5" s="85" t="s">
        <v>14</v>
      </c>
      <c r="V5" s="86"/>
      <c r="X5" s="158" t="s">
        <v>40</v>
      </c>
      <c r="Y5" s="158"/>
      <c r="Z5" s="158"/>
      <c r="AA5" s="158"/>
      <c r="AB5" s="158"/>
      <c r="AC5" s="158"/>
      <c r="AD5" s="158"/>
    </row>
    <row r="6" spans="1:30" ht="66" customHeight="1">
      <c r="A6" s="78">
        <v>0</v>
      </c>
      <c r="B6" s="87" t="s">
        <v>16</v>
      </c>
      <c r="C6" s="1"/>
      <c r="D6" s="17">
        <v>6</v>
      </c>
      <c r="E6" s="17">
        <v>6</v>
      </c>
      <c r="F6" s="17">
        <v>1</v>
      </c>
      <c r="G6" s="76">
        <v>0</v>
      </c>
      <c r="H6" s="76">
        <v>0</v>
      </c>
      <c r="I6" s="76">
        <v>0</v>
      </c>
      <c r="J6" s="76">
        <v>0</v>
      </c>
      <c r="K6" s="76">
        <v>0</v>
      </c>
      <c r="L6" s="76">
        <v>0</v>
      </c>
      <c r="M6" s="76">
        <v>0</v>
      </c>
      <c r="N6" s="76">
        <v>0</v>
      </c>
      <c r="O6" s="88">
        <v>0</v>
      </c>
      <c r="P6" s="22">
        <f t="shared" ref="P6:P27" si="0">(O6/SUM(O$6:O$27)*100)</f>
        <v>0</v>
      </c>
      <c r="Q6" s="88">
        <f t="shared" ref="Q6:Q27" si="1">D6*O6</f>
        <v>0</v>
      </c>
      <c r="R6" s="88">
        <f t="shared" ref="R6:R27" si="2">E6*O6</f>
        <v>0</v>
      </c>
      <c r="S6" s="88">
        <f>(Q6/SUM(Q6:Q26)*100)</f>
        <v>0</v>
      </c>
      <c r="T6" s="88">
        <f>(R6/SUM(R6:R26)*100)</f>
        <v>0</v>
      </c>
      <c r="U6" s="89">
        <f t="shared" ref="U6:U27" si="3">(12.011*D6)+(1.008*E6)</f>
        <v>78.114000000000004</v>
      </c>
      <c r="X6"/>
      <c r="Y6"/>
    </row>
    <row r="7" spans="1:30" ht="82" customHeight="1">
      <c r="A7" s="78">
        <v>1</v>
      </c>
      <c r="B7" s="87" t="s">
        <v>17</v>
      </c>
      <c r="C7" s="1"/>
      <c r="D7" s="17">
        <v>13</v>
      </c>
      <c r="E7" s="17">
        <v>10</v>
      </c>
      <c r="F7" s="17">
        <v>2</v>
      </c>
      <c r="G7" s="76">
        <f>1</f>
        <v>1</v>
      </c>
      <c r="H7" s="76">
        <v>0</v>
      </c>
      <c r="I7" s="76">
        <v>0</v>
      </c>
      <c r="J7" s="76">
        <v>0</v>
      </c>
      <c r="K7" s="76">
        <v>0</v>
      </c>
      <c r="L7" s="76">
        <v>0</v>
      </c>
      <c r="M7" s="76">
        <v>0</v>
      </c>
      <c r="N7" s="76">
        <v>0</v>
      </c>
      <c r="O7" s="17">
        <v>0</v>
      </c>
      <c r="P7" s="22">
        <f t="shared" si="0"/>
        <v>0</v>
      </c>
      <c r="Q7" s="88">
        <f t="shared" si="1"/>
        <v>0</v>
      </c>
      <c r="R7" s="88">
        <f t="shared" si="2"/>
        <v>0</v>
      </c>
      <c r="S7" s="88">
        <f t="shared" ref="S7:T7" si="4">(Q7/SUM(Q7:Q29)*100)</f>
        <v>0</v>
      </c>
      <c r="T7" s="88">
        <f t="shared" si="4"/>
        <v>0</v>
      </c>
      <c r="U7" s="89">
        <f t="shared" si="3"/>
        <v>166.22300000000001</v>
      </c>
      <c r="X7" s="90"/>
      <c r="Y7"/>
    </row>
    <row r="8" spans="1:30" ht="100" customHeight="1">
      <c r="A8" s="78">
        <v>2</v>
      </c>
      <c r="B8" s="87" t="s">
        <v>18</v>
      </c>
      <c r="C8" s="1"/>
      <c r="D8" s="17">
        <v>13</v>
      </c>
      <c r="E8" s="17">
        <v>10</v>
      </c>
      <c r="F8" s="17">
        <v>3</v>
      </c>
      <c r="G8" s="76">
        <v>0</v>
      </c>
      <c r="H8" s="76">
        <v>1</v>
      </c>
      <c r="I8" s="76">
        <v>0</v>
      </c>
      <c r="J8" s="76">
        <v>0</v>
      </c>
      <c r="K8" s="76">
        <v>0</v>
      </c>
      <c r="L8" s="76">
        <v>0</v>
      </c>
      <c r="M8" s="76">
        <v>0</v>
      </c>
      <c r="N8" s="76">
        <v>0</v>
      </c>
      <c r="O8" s="17">
        <v>4</v>
      </c>
      <c r="P8" s="22">
        <f t="shared" si="0"/>
        <v>4.5454545454545459</v>
      </c>
      <c r="Q8" s="88">
        <f t="shared" si="1"/>
        <v>52</v>
      </c>
      <c r="R8" s="88">
        <f t="shared" si="2"/>
        <v>40</v>
      </c>
      <c r="S8" s="88">
        <f>(Q8/SUM(Q8:Q30)*100)</f>
        <v>0.55817947617003005</v>
      </c>
      <c r="T8" s="88">
        <f>(R8/SUM(R8:R30)*100)</f>
        <v>1.2239902080783354</v>
      </c>
      <c r="U8" s="89">
        <f t="shared" si="3"/>
        <v>166.22300000000001</v>
      </c>
      <c r="X8" s="90"/>
      <c r="Y8"/>
    </row>
    <row r="9" spans="1:30" ht="79" customHeight="1">
      <c r="A9" s="91">
        <v>3</v>
      </c>
      <c r="B9" s="87" t="s">
        <v>19</v>
      </c>
      <c r="C9" s="1"/>
      <c r="D9" s="17">
        <v>14</v>
      </c>
      <c r="E9" s="17">
        <v>10</v>
      </c>
      <c r="F9" s="17">
        <v>3</v>
      </c>
      <c r="G9" s="92">
        <f>2/3</f>
        <v>0.66666666666666663</v>
      </c>
      <c r="H9" s="76">
        <v>0</v>
      </c>
      <c r="I9" s="76">
        <v>0</v>
      </c>
      <c r="J9" s="76">
        <v>0</v>
      </c>
      <c r="K9" s="76">
        <v>0</v>
      </c>
      <c r="L9" s="76">
        <f>1/3</f>
        <v>0.33333333333333331</v>
      </c>
      <c r="M9" s="76">
        <v>0</v>
      </c>
      <c r="N9" s="76">
        <v>0</v>
      </c>
      <c r="O9" s="17">
        <v>0</v>
      </c>
      <c r="P9" s="22">
        <f t="shared" si="0"/>
        <v>0</v>
      </c>
      <c r="Q9" s="88">
        <f t="shared" si="1"/>
        <v>0</v>
      </c>
      <c r="R9" s="88">
        <f t="shared" si="2"/>
        <v>0</v>
      </c>
      <c r="S9" s="88">
        <f>(Q9/SUM(Q9:Q31)*100)</f>
        <v>0</v>
      </c>
      <c r="T9" s="88">
        <f>(R9/SUM(R9:R31)*100)</f>
        <v>0</v>
      </c>
      <c r="U9" s="89">
        <f t="shared" si="3"/>
        <v>178.23400000000001</v>
      </c>
      <c r="X9" s="90"/>
      <c r="Y9"/>
    </row>
    <row r="10" spans="1:30" ht="83" customHeight="1">
      <c r="A10" s="91">
        <v>4</v>
      </c>
      <c r="B10" s="87" t="s">
        <v>20</v>
      </c>
      <c r="C10" s="1"/>
      <c r="D10" s="17">
        <v>14</v>
      </c>
      <c r="E10" s="17">
        <v>10</v>
      </c>
      <c r="F10" s="17">
        <v>3</v>
      </c>
      <c r="G10" s="76">
        <f>1</f>
        <v>1</v>
      </c>
      <c r="H10" s="76">
        <v>0</v>
      </c>
      <c r="I10" s="76">
        <v>0</v>
      </c>
      <c r="J10" s="76">
        <v>0</v>
      </c>
      <c r="K10" s="76">
        <v>0</v>
      </c>
      <c r="L10" s="76">
        <v>0</v>
      </c>
      <c r="M10" s="76">
        <v>0</v>
      </c>
      <c r="N10" s="76">
        <v>0</v>
      </c>
      <c r="O10" s="17">
        <v>0</v>
      </c>
      <c r="P10" s="22">
        <f t="shared" si="0"/>
        <v>0</v>
      </c>
      <c r="Q10" s="88">
        <f t="shared" si="1"/>
        <v>0</v>
      </c>
      <c r="R10" s="88">
        <f t="shared" si="2"/>
        <v>0</v>
      </c>
      <c r="S10" s="88">
        <f>(Q10/SUM(Q10:Q33)*100)</f>
        <v>0</v>
      </c>
      <c r="T10" s="88">
        <f>(R10/SUM(R10:R33)*100)</f>
        <v>0</v>
      </c>
      <c r="U10" s="89">
        <f t="shared" si="3"/>
        <v>178.23400000000001</v>
      </c>
      <c r="X10" s="90"/>
      <c r="Y10"/>
    </row>
    <row r="11" spans="1:30" ht="83" customHeight="1">
      <c r="A11" s="78">
        <v>5</v>
      </c>
      <c r="B11" s="87" t="s">
        <v>54</v>
      </c>
      <c r="C11" s="1"/>
      <c r="D11" s="17">
        <v>18</v>
      </c>
      <c r="E11" s="17">
        <v>12</v>
      </c>
      <c r="F11" s="17">
        <v>4</v>
      </c>
      <c r="G11" s="76">
        <f>2/4</f>
        <v>0.5</v>
      </c>
      <c r="H11" s="76">
        <v>0</v>
      </c>
      <c r="I11" s="76">
        <v>0</v>
      </c>
      <c r="J11" s="76">
        <v>0</v>
      </c>
      <c r="K11" s="76">
        <f>2/4</f>
        <v>0.5</v>
      </c>
      <c r="L11" s="76">
        <v>0</v>
      </c>
      <c r="M11" s="76">
        <v>0</v>
      </c>
      <c r="N11" s="76">
        <v>0</v>
      </c>
      <c r="O11" s="17">
        <v>0</v>
      </c>
      <c r="P11" s="22">
        <f t="shared" si="0"/>
        <v>0</v>
      </c>
      <c r="Q11" s="88">
        <f t="shared" si="1"/>
        <v>0</v>
      </c>
      <c r="R11" s="88">
        <f t="shared" si="2"/>
        <v>0</v>
      </c>
      <c r="U11" s="89">
        <f t="shared" si="3"/>
        <v>228.29399999999998</v>
      </c>
      <c r="X11" s="90"/>
      <c r="Y11"/>
    </row>
    <row r="12" spans="1:30" ht="83" customHeight="1">
      <c r="A12" s="78">
        <v>6</v>
      </c>
      <c r="B12" s="87" t="s">
        <v>53</v>
      </c>
      <c r="C12" s="1"/>
      <c r="D12" s="17">
        <v>22</v>
      </c>
      <c r="E12" s="17">
        <v>14</v>
      </c>
      <c r="F12" s="17">
        <v>5</v>
      </c>
      <c r="G12" s="76">
        <f>2/5</f>
        <v>0.4</v>
      </c>
      <c r="H12" s="76">
        <v>0</v>
      </c>
      <c r="I12" s="76">
        <v>0</v>
      </c>
      <c r="J12" s="76">
        <v>0</v>
      </c>
      <c r="K12" s="76">
        <v>0.6</v>
      </c>
      <c r="L12" s="76">
        <v>0</v>
      </c>
      <c r="M12" s="76">
        <v>0</v>
      </c>
      <c r="N12" s="76">
        <v>0</v>
      </c>
      <c r="O12" s="17">
        <v>10</v>
      </c>
      <c r="P12" s="22">
        <f t="shared" si="0"/>
        <v>11.363636363636363</v>
      </c>
      <c r="Q12" s="88">
        <f t="shared" si="1"/>
        <v>220</v>
      </c>
      <c r="R12" s="88">
        <f t="shared" si="2"/>
        <v>140</v>
      </c>
      <c r="U12" s="89">
        <f t="shared" si="3"/>
        <v>278.35399999999998</v>
      </c>
      <c r="X12" s="90"/>
      <c r="Y12"/>
    </row>
    <row r="13" spans="1:30" ht="91" customHeight="1">
      <c r="A13" s="91">
        <v>7</v>
      </c>
      <c r="B13" s="87" t="s">
        <v>21</v>
      </c>
      <c r="C13" s="1"/>
      <c r="D13" s="17">
        <v>16</v>
      </c>
      <c r="E13" s="17">
        <v>10</v>
      </c>
      <c r="F13" s="17">
        <v>4</v>
      </c>
      <c r="G13" s="76">
        <v>0</v>
      </c>
      <c r="H13" s="76">
        <f>2/4</f>
        <v>0.5</v>
      </c>
      <c r="I13" s="76">
        <v>0</v>
      </c>
      <c r="J13" s="76">
        <v>0</v>
      </c>
      <c r="K13" s="76">
        <v>0</v>
      </c>
      <c r="L13" s="76">
        <f>2/4</f>
        <v>0.5</v>
      </c>
      <c r="M13" s="76">
        <v>0</v>
      </c>
      <c r="N13" s="76">
        <v>0</v>
      </c>
      <c r="O13" s="17">
        <v>9</v>
      </c>
      <c r="P13" s="22">
        <f t="shared" si="0"/>
        <v>10.227272727272728</v>
      </c>
      <c r="Q13" s="88">
        <f t="shared" si="1"/>
        <v>144</v>
      </c>
      <c r="R13" s="88">
        <f t="shared" si="2"/>
        <v>90</v>
      </c>
      <c r="S13" s="88">
        <f>(Q13/SUM(Q13:Q34)*100)</f>
        <v>1.5922158337019019</v>
      </c>
      <c r="T13" s="88">
        <f>(R13/SUM(R13:R34)*100)</f>
        <v>2.9145077720207255</v>
      </c>
      <c r="U13" s="89">
        <f t="shared" si="3"/>
        <v>202.256</v>
      </c>
      <c r="X13" s="90"/>
      <c r="Y13"/>
    </row>
    <row r="14" spans="1:30" ht="91" customHeight="1">
      <c r="A14" s="91">
        <v>8</v>
      </c>
      <c r="B14" s="87" t="s">
        <v>22</v>
      </c>
      <c r="C14" s="1"/>
      <c r="D14" s="17">
        <v>18</v>
      </c>
      <c r="E14" s="17">
        <v>12</v>
      </c>
      <c r="F14" s="17">
        <v>4</v>
      </c>
      <c r="G14" s="76">
        <v>0.5</v>
      </c>
      <c r="H14" s="76">
        <v>0</v>
      </c>
      <c r="I14" s="76">
        <v>0</v>
      </c>
      <c r="J14" s="76">
        <v>0</v>
      </c>
      <c r="K14" s="76">
        <v>0</v>
      </c>
      <c r="L14" s="76">
        <v>0.5</v>
      </c>
      <c r="M14" s="76">
        <v>0</v>
      </c>
      <c r="N14" s="76">
        <v>0</v>
      </c>
      <c r="O14" s="17">
        <v>0</v>
      </c>
      <c r="P14" s="22">
        <f t="shared" si="0"/>
        <v>0</v>
      </c>
      <c r="Q14" s="88">
        <f t="shared" si="1"/>
        <v>0</v>
      </c>
      <c r="R14" s="88">
        <f t="shared" si="2"/>
        <v>0</v>
      </c>
      <c r="S14" s="88">
        <f>(Q14/SUM(Q14:Q35)*100)</f>
        <v>0</v>
      </c>
      <c r="T14" s="88">
        <f>(R14/SUM(R14:R35)*100)</f>
        <v>0</v>
      </c>
      <c r="U14" s="89">
        <f t="shared" si="3"/>
        <v>228.29399999999998</v>
      </c>
      <c r="X14" s="90"/>
      <c r="Y14"/>
    </row>
    <row r="15" spans="1:30" ht="69" customHeight="1">
      <c r="A15" s="78">
        <v>9</v>
      </c>
      <c r="B15" s="87" t="s">
        <v>26</v>
      </c>
      <c r="C15" s="1"/>
      <c r="D15" s="17">
        <v>17</v>
      </c>
      <c r="E15" s="17">
        <v>12</v>
      </c>
      <c r="F15" s="17">
        <v>3</v>
      </c>
      <c r="G15" s="76">
        <f>2/3</f>
        <v>0.66666666666666663</v>
      </c>
      <c r="H15" s="76">
        <v>0</v>
      </c>
      <c r="I15" s="76">
        <v>0</v>
      </c>
      <c r="J15" s="76">
        <v>0</v>
      </c>
      <c r="K15" s="76">
        <v>0</v>
      </c>
      <c r="L15" s="76">
        <f>1/3</f>
        <v>0.33333333333333331</v>
      </c>
      <c r="M15" s="76">
        <v>0</v>
      </c>
      <c r="N15" s="76">
        <v>0</v>
      </c>
      <c r="O15" s="17">
        <v>0</v>
      </c>
      <c r="P15" s="22">
        <f t="shared" si="0"/>
        <v>0</v>
      </c>
      <c r="Q15" s="88">
        <f t="shared" si="1"/>
        <v>0</v>
      </c>
      <c r="R15" s="88">
        <f t="shared" si="2"/>
        <v>0</v>
      </c>
      <c r="S15" s="88">
        <f>(Q15/SUM(Q15:Q35)*100)</f>
        <v>0</v>
      </c>
      <c r="T15" s="88">
        <f>(R15/SUM(R15:R35)*100)</f>
        <v>0</v>
      </c>
      <c r="U15" s="89">
        <f t="shared" si="3"/>
        <v>216.28299999999999</v>
      </c>
      <c r="X15" s="90"/>
      <c r="Y15"/>
    </row>
    <row r="16" spans="1:30" ht="102" customHeight="1">
      <c r="A16" s="78">
        <v>10</v>
      </c>
      <c r="B16" s="87" t="s">
        <v>27</v>
      </c>
      <c r="C16" s="1"/>
      <c r="D16" s="17">
        <v>20</v>
      </c>
      <c r="E16" s="17">
        <v>12</v>
      </c>
      <c r="F16" s="17">
        <v>4</v>
      </c>
      <c r="G16" s="76">
        <f>2/4</f>
        <v>0.5</v>
      </c>
      <c r="H16" s="76">
        <f>1/4</f>
        <v>0.25</v>
      </c>
      <c r="I16" s="76">
        <v>0</v>
      </c>
      <c r="J16" s="76">
        <v>0</v>
      </c>
      <c r="K16" s="76">
        <v>0</v>
      </c>
      <c r="L16" s="76">
        <v>0</v>
      </c>
      <c r="M16" s="76">
        <v>0.25</v>
      </c>
      <c r="N16" s="76">
        <v>0</v>
      </c>
      <c r="O16" s="17">
        <v>0</v>
      </c>
      <c r="P16" s="22">
        <f t="shared" si="0"/>
        <v>0</v>
      </c>
      <c r="Q16" s="88">
        <f t="shared" si="1"/>
        <v>0</v>
      </c>
      <c r="R16" s="88">
        <f t="shared" si="2"/>
        <v>0</v>
      </c>
      <c r="S16" s="88">
        <f>(Q16/SUM(Q16:Q37)*100)</f>
        <v>0</v>
      </c>
      <c r="T16" s="88">
        <f>(R16/SUM(R16:R37)*100)</f>
        <v>0</v>
      </c>
      <c r="U16" s="89">
        <f t="shared" si="3"/>
        <v>252.31599999999997</v>
      </c>
      <c r="X16" s="90"/>
      <c r="Y16"/>
    </row>
    <row r="17" spans="1:25" ht="71" customHeight="1">
      <c r="A17" s="78">
        <v>11</v>
      </c>
      <c r="B17" s="87" t="s">
        <v>28</v>
      </c>
      <c r="C17" s="1"/>
      <c r="D17" s="17">
        <v>17</v>
      </c>
      <c r="E17" s="17">
        <v>12</v>
      </c>
      <c r="F17" s="17">
        <v>3</v>
      </c>
      <c r="G17" s="76">
        <f>G15</f>
        <v>0.66666666666666663</v>
      </c>
      <c r="H17" s="76">
        <v>0</v>
      </c>
      <c r="I17" s="76">
        <v>0</v>
      </c>
      <c r="J17" s="76">
        <v>0</v>
      </c>
      <c r="K17" s="76">
        <v>0</v>
      </c>
      <c r="L17" s="76">
        <f>L15</f>
        <v>0.33333333333333331</v>
      </c>
      <c r="M17" s="76">
        <v>0</v>
      </c>
      <c r="N17" s="76">
        <v>0</v>
      </c>
      <c r="O17" s="17">
        <v>0</v>
      </c>
      <c r="P17" s="22">
        <f t="shared" si="0"/>
        <v>0</v>
      </c>
      <c r="Q17" s="88">
        <f t="shared" si="1"/>
        <v>0</v>
      </c>
      <c r="R17" s="88">
        <f t="shared" si="2"/>
        <v>0</v>
      </c>
      <c r="S17" s="88">
        <f t="shared" ref="S17:T19" si="5">(Q17/SUM(Q17:Q39)*100)</f>
        <v>0</v>
      </c>
      <c r="T17" s="88">
        <f t="shared" si="5"/>
        <v>0</v>
      </c>
      <c r="U17" s="89">
        <f t="shared" si="3"/>
        <v>216.28299999999999</v>
      </c>
      <c r="X17" s="90"/>
      <c r="Y17"/>
    </row>
    <row r="18" spans="1:25" ht="117" customHeight="1">
      <c r="A18" s="91">
        <v>12</v>
      </c>
      <c r="B18" s="87" t="s">
        <v>24</v>
      </c>
      <c r="C18" s="1"/>
      <c r="D18" s="17">
        <v>24</v>
      </c>
      <c r="E18" s="17">
        <v>12</v>
      </c>
      <c r="F18" s="17">
        <v>7</v>
      </c>
      <c r="G18" s="76">
        <v>0</v>
      </c>
      <c r="H18" s="76">
        <v>0</v>
      </c>
      <c r="I18" s="76">
        <v>0</v>
      </c>
      <c r="J18" s="76">
        <v>0</v>
      </c>
      <c r="K18" s="76">
        <v>0</v>
      </c>
      <c r="L18" s="76">
        <f>6/7</f>
        <v>0.8571428571428571</v>
      </c>
      <c r="M18" s="76">
        <v>0</v>
      </c>
      <c r="N18" s="76">
        <f>1/7</f>
        <v>0.14285714285714285</v>
      </c>
      <c r="O18" s="17">
        <v>0</v>
      </c>
      <c r="P18" s="22">
        <f t="shared" si="0"/>
        <v>0</v>
      </c>
      <c r="Q18" s="88">
        <f t="shared" si="1"/>
        <v>0</v>
      </c>
      <c r="R18" s="88">
        <f t="shared" si="2"/>
        <v>0</v>
      </c>
      <c r="S18" s="88">
        <f t="shared" si="5"/>
        <v>0</v>
      </c>
      <c r="T18" s="88">
        <f t="shared" si="5"/>
        <v>0</v>
      </c>
      <c r="U18" s="89">
        <f t="shared" si="3"/>
        <v>300.36</v>
      </c>
      <c r="X18" s="90"/>
      <c r="Y18"/>
    </row>
    <row r="19" spans="1:25" ht="93" customHeight="1">
      <c r="A19" s="91">
        <v>13</v>
      </c>
      <c r="B19" s="87" t="s">
        <v>25</v>
      </c>
      <c r="D19" s="17">
        <v>20</v>
      </c>
      <c r="E19" s="17">
        <v>12</v>
      </c>
      <c r="F19" s="17">
        <v>5</v>
      </c>
      <c r="G19" s="76">
        <v>0</v>
      </c>
      <c r="H19" s="76">
        <f>4/5</f>
        <v>0.8</v>
      </c>
      <c r="I19" s="76">
        <v>0</v>
      </c>
      <c r="J19" s="76">
        <v>0</v>
      </c>
      <c r="K19" s="76">
        <v>0</v>
      </c>
      <c r="L19" s="76">
        <v>0</v>
      </c>
      <c r="M19" s="76">
        <v>0</v>
      </c>
      <c r="N19" s="76">
        <f>1/5</f>
        <v>0.2</v>
      </c>
      <c r="O19" s="17">
        <v>0</v>
      </c>
      <c r="P19" s="22">
        <f t="shared" si="0"/>
        <v>0</v>
      </c>
      <c r="Q19" s="88">
        <f t="shared" si="1"/>
        <v>0</v>
      </c>
      <c r="R19" s="88">
        <f t="shared" si="2"/>
        <v>0</v>
      </c>
      <c r="S19" s="88">
        <f t="shared" si="5"/>
        <v>0</v>
      </c>
      <c r="T19" s="88">
        <f t="shared" si="5"/>
        <v>0</v>
      </c>
      <c r="U19" s="89">
        <f t="shared" si="3"/>
        <v>252.31599999999997</v>
      </c>
      <c r="X19" s="90"/>
      <c r="Y19"/>
    </row>
    <row r="20" spans="1:25" ht="95" customHeight="1">
      <c r="A20" s="78">
        <v>14</v>
      </c>
      <c r="B20" s="87" t="s">
        <v>29</v>
      </c>
      <c r="D20" s="17">
        <v>20</v>
      </c>
      <c r="E20" s="17">
        <v>12</v>
      </c>
      <c r="F20" s="17">
        <v>5</v>
      </c>
      <c r="G20" s="76">
        <f>1/5</f>
        <v>0.2</v>
      </c>
      <c r="H20" s="76">
        <f>1/5</f>
        <v>0.2</v>
      </c>
      <c r="I20" s="76">
        <v>0</v>
      </c>
      <c r="J20" s="76">
        <v>0</v>
      </c>
      <c r="K20" s="76">
        <v>0</v>
      </c>
      <c r="L20" s="76">
        <v>0.4</v>
      </c>
      <c r="M20" s="76">
        <v>0.2</v>
      </c>
      <c r="N20" s="76">
        <v>0</v>
      </c>
      <c r="O20" s="17">
        <v>0</v>
      </c>
      <c r="P20" s="22">
        <f t="shared" si="0"/>
        <v>0</v>
      </c>
      <c r="Q20" s="88">
        <f t="shared" si="1"/>
        <v>0</v>
      </c>
      <c r="R20" s="88">
        <f t="shared" si="2"/>
        <v>0</v>
      </c>
      <c r="S20" s="88">
        <f t="shared" ref="S20:T27" si="6">(Q20/SUM(Q20:Q43)*100)</f>
        <v>0</v>
      </c>
      <c r="T20" s="88">
        <f t="shared" si="6"/>
        <v>0</v>
      </c>
      <c r="U20" s="89">
        <f t="shared" si="3"/>
        <v>252.31599999999997</v>
      </c>
      <c r="X20" s="90"/>
      <c r="Y20"/>
    </row>
    <row r="21" spans="1:25" ht="102" customHeight="1">
      <c r="A21" s="91">
        <v>15</v>
      </c>
      <c r="B21" s="87" t="s">
        <v>30</v>
      </c>
      <c r="D21" s="17">
        <v>22</v>
      </c>
      <c r="E21" s="17">
        <v>12</v>
      </c>
      <c r="F21" s="17">
        <v>6</v>
      </c>
      <c r="G21" s="76">
        <v>0</v>
      </c>
      <c r="H21" s="76">
        <f>2/6</f>
        <v>0.33333333333333331</v>
      </c>
      <c r="I21" s="76">
        <v>0</v>
      </c>
      <c r="J21" s="76">
        <v>0</v>
      </c>
      <c r="K21" s="76">
        <v>0</v>
      </c>
      <c r="L21" s="76">
        <f>3/6</f>
        <v>0.5</v>
      </c>
      <c r="M21" s="76">
        <v>0</v>
      </c>
      <c r="N21" s="76">
        <f>1/6</f>
        <v>0.16666666666666666</v>
      </c>
      <c r="O21" s="17">
        <v>0</v>
      </c>
      <c r="P21" s="22">
        <f t="shared" si="0"/>
        <v>0</v>
      </c>
      <c r="Q21" s="88">
        <f t="shared" si="1"/>
        <v>0</v>
      </c>
      <c r="R21" s="88">
        <f t="shared" si="2"/>
        <v>0</v>
      </c>
      <c r="S21" s="88">
        <f t="shared" si="6"/>
        <v>0</v>
      </c>
      <c r="T21" s="88">
        <f t="shared" si="6"/>
        <v>0</v>
      </c>
      <c r="U21" s="89">
        <f t="shared" si="3"/>
        <v>276.33799999999997</v>
      </c>
      <c r="X21" s="90"/>
      <c r="Y21"/>
    </row>
    <row r="22" spans="1:25" ht="137" customHeight="1">
      <c r="A22" s="78">
        <v>16</v>
      </c>
      <c r="B22" s="87" t="s">
        <v>31</v>
      </c>
      <c r="C22" s="1"/>
      <c r="D22" s="17">
        <v>42</v>
      </c>
      <c r="E22" s="17">
        <v>16</v>
      </c>
      <c r="F22" s="17">
        <v>14</v>
      </c>
      <c r="G22" s="76">
        <v>0</v>
      </c>
      <c r="H22" s="76">
        <v>0</v>
      </c>
      <c r="I22" s="76">
        <v>0</v>
      </c>
      <c r="J22" s="76">
        <v>0</v>
      </c>
      <c r="K22" s="76">
        <v>0</v>
      </c>
      <c r="L22" s="76">
        <f>6/14</f>
        <v>0.42857142857142855</v>
      </c>
      <c r="M22" s="76">
        <f>4/14</f>
        <v>0.2857142857142857</v>
      </c>
      <c r="N22" s="76">
        <f>4/14</f>
        <v>0.2857142857142857</v>
      </c>
      <c r="O22" s="17">
        <v>11</v>
      </c>
      <c r="P22" s="22">
        <f t="shared" si="0"/>
        <v>12.5</v>
      </c>
      <c r="Q22" s="88">
        <f t="shared" si="1"/>
        <v>462</v>
      </c>
      <c r="R22" s="88">
        <f t="shared" si="2"/>
        <v>176</v>
      </c>
      <c r="S22" s="88">
        <f t="shared" si="6"/>
        <v>5.191011235955056</v>
      </c>
      <c r="T22" s="88">
        <f t="shared" si="6"/>
        <v>5.8705803869246163</v>
      </c>
      <c r="U22" s="89">
        <f t="shared" si="3"/>
        <v>520.59</v>
      </c>
      <c r="X22" s="90"/>
      <c r="Y22"/>
    </row>
    <row r="23" spans="1:25" ht="167" customHeight="1">
      <c r="A23" s="78">
        <v>17</v>
      </c>
      <c r="B23" s="87" t="s">
        <v>32</v>
      </c>
      <c r="C23" s="1"/>
      <c r="D23" s="17">
        <v>54</v>
      </c>
      <c r="E23" s="17">
        <v>18</v>
      </c>
      <c r="F23" s="17">
        <v>19</v>
      </c>
      <c r="G23" s="76">
        <v>0</v>
      </c>
      <c r="H23" s="76">
        <v>0</v>
      </c>
      <c r="I23" s="76">
        <v>0</v>
      </c>
      <c r="J23" s="76">
        <v>0</v>
      </c>
      <c r="K23" s="76">
        <v>0</v>
      </c>
      <c r="L23" s="76">
        <f>6/19</f>
        <v>0.31578947368421051</v>
      </c>
      <c r="M23" s="76">
        <f>6/19</f>
        <v>0.31578947368421051</v>
      </c>
      <c r="N23" s="76">
        <f>7/19</f>
        <v>0.36842105263157893</v>
      </c>
      <c r="O23" s="17">
        <v>0</v>
      </c>
      <c r="P23" s="22">
        <f t="shared" si="0"/>
        <v>0</v>
      </c>
      <c r="Q23" s="88">
        <f t="shared" si="1"/>
        <v>0</v>
      </c>
      <c r="R23" s="88">
        <f t="shared" si="2"/>
        <v>0</v>
      </c>
      <c r="S23" s="88">
        <f t="shared" si="6"/>
        <v>0</v>
      </c>
      <c r="T23" s="88">
        <f t="shared" si="6"/>
        <v>0</v>
      </c>
      <c r="U23" s="89">
        <f t="shared" si="3"/>
        <v>666.73799999999994</v>
      </c>
      <c r="X23" s="90"/>
      <c r="Y23"/>
    </row>
    <row r="24" spans="1:25" ht="151" customHeight="1">
      <c r="A24" s="78">
        <v>18</v>
      </c>
      <c r="B24" s="87" t="s">
        <v>33</v>
      </c>
      <c r="C24" s="1"/>
      <c r="D24" s="17">
        <v>66</v>
      </c>
      <c r="E24" s="17">
        <v>20</v>
      </c>
      <c r="F24" s="17">
        <v>24</v>
      </c>
      <c r="G24" s="76">
        <v>0</v>
      </c>
      <c r="H24" s="76">
        <v>0</v>
      </c>
      <c r="I24" s="76">
        <v>0</v>
      </c>
      <c r="J24" s="76">
        <v>0</v>
      </c>
      <c r="K24" s="76">
        <v>0</v>
      </c>
      <c r="L24" s="76">
        <f>6/24</f>
        <v>0.25</v>
      </c>
      <c r="M24" s="76">
        <f>8/24</f>
        <v>0.33333333333333331</v>
      </c>
      <c r="N24" s="76">
        <f>10/24</f>
        <v>0.41666666666666669</v>
      </c>
      <c r="O24" s="17">
        <v>0</v>
      </c>
      <c r="P24" s="22">
        <f t="shared" si="0"/>
        <v>0</v>
      </c>
      <c r="Q24" s="88">
        <f t="shared" si="1"/>
        <v>0</v>
      </c>
      <c r="R24" s="88">
        <f t="shared" si="2"/>
        <v>0</v>
      </c>
      <c r="S24" s="88">
        <f t="shared" si="6"/>
        <v>0</v>
      </c>
      <c r="T24" s="88">
        <f t="shared" si="6"/>
        <v>0</v>
      </c>
      <c r="U24" s="89">
        <f t="shared" si="3"/>
        <v>812.88599999999997</v>
      </c>
      <c r="X24" s="90"/>
      <c r="Y24"/>
    </row>
    <row r="25" spans="1:25" ht="151" customHeight="1">
      <c r="A25" s="78">
        <v>19</v>
      </c>
      <c r="B25" s="87" t="s">
        <v>35</v>
      </c>
      <c r="C25" s="1"/>
      <c r="D25" s="17">
        <v>70</v>
      </c>
      <c r="E25" s="17">
        <v>22</v>
      </c>
      <c r="F25" s="17">
        <v>25</v>
      </c>
      <c r="G25" s="76">
        <v>0</v>
      </c>
      <c r="H25" s="76">
        <f>2/25</f>
        <v>0.08</v>
      </c>
      <c r="I25" s="76">
        <v>0</v>
      </c>
      <c r="J25" s="76">
        <v>0</v>
      </c>
      <c r="K25" s="76">
        <v>0</v>
      </c>
      <c r="L25" s="76">
        <v>0.08</v>
      </c>
      <c r="M25" s="76">
        <f>12/25</f>
        <v>0.48</v>
      </c>
      <c r="N25" s="76">
        <f>9/25</f>
        <v>0.36</v>
      </c>
      <c r="O25" s="17">
        <v>54</v>
      </c>
      <c r="P25" s="22">
        <f t="shared" si="0"/>
        <v>61.363636363636367</v>
      </c>
      <c r="Q25" s="88">
        <f t="shared" si="1"/>
        <v>3780</v>
      </c>
      <c r="R25" s="88">
        <f t="shared" si="2"/>
        <v>1188</v>
      </c>
      <c r="S25" s="88">
        <f t="shared" si="6"/>
        <v>44.797345342498225</v>
      </c>
      <c r="T25" s="88">
        <f t="shared" si="6"/>
        <v>42.097802976612329</v>
      </c>
      <c r="U25" s="89">
        <f t="shared" si="3"/>
        <v>862.94600000000003</v>
      </c>
      <c r="X25" s="90"/>
      <c r="Y25"/>
    </row>
    <row r="26" spans="1:25" ht="151" customHeight="1">
      <c r="A26" s="78">
        <v>20</v>
      </c>
      <c r="B26" s="87" t="s">
        <v>34</v>
      </c>
      <c r="C26" s="1"/>
      <c r="D26" s="17">
        <v>80</v>
      </c>
      <c r="E26" s="17">
        <f>22</f>
        <v>22</v>
      </c>
      <c r="F26" s="17">
        <v>30</v>
      </c>
      <c r="G26" s="76">
        <v>0</v>
      </c>
      <c r="H26" s="76">
        <v>0</v>
      </c>
      <c r="I26" s="76">
        <v>0</v>
      </c>
      <c r="J26" s="76">
        <v>0</v>
      </c>
      <c r="K26" s="76">
        <v>0</v>
      </c>
      <c r="L26" s="76">
        <f>6/30</f>
        <v>0.2</v>
      </c>
      <c r="M26" s="76">
        <f>10/30</f>
        <v>0.33333333333333331</v>
      </c>
      <c r="N26" s="76">
        <f>14/30</f>
        <v>0.46666666666666667</v>
      </c>
      <c r="O26" s="17">
        <v>0</v>
      </c>
      <c r="P26" s="22">
        <f t="shared" si="0"/>
        <v>0</v>
      </c>
      <c r="Q26" s="88">
        <f t="shared" si="1"/>
        <v>0</v>
      </c>
      <c r="R26" s="88">
        <f t="shared" si="2"/>
        <v>0</v>
      </c>
      <c r="S26" s="88">
        <f t="shared" si="6"/>
        <v>0</v>
      </c>
      <c r="T26" s="88">
        <f t="shared" si="6"/>
        <v>0</v>
      </c>
      <c r="U26" s="89">
        <f t="shared" si="3"/>
        <v>983.05599999999993</v>
      </c>
      <c r="X26" s="90"/>
      <c r="Y26"/>
    </row>
    <row r="27" spans="1:25" ht="173" customHeight="1">
      <c r="A27" s="78">
        <v>21</v>
      </c>
      <c r="B27" s="94" t="s">
        <v>37</v>
      </c>
      <c r="C27" s="1"/>
      <c r="D27" s="17">
        <v>84</v>
      </c>
      <c r="E27" s="17">
        <v>24</v>
      </c>
      <c r="F27" s="17">
        <v>31</v>
      </c>
      <c r="G27" s="76">
        <v>0</v>
      </c>
      <c r="H27" s="76">
        <v>0</v>
      </c>
      <c r="I27" s="76">
        <v>0</v>
      </c>
      <c r="J27" s="76">
        <v>0</v>
      </c>
      <c r="K27" s="76">
        <v>0</v>
      </c>
      <c r="L27" s="76">
        <f>(31-18)/31</f>
        <v>0.41935483870967744</v>
      </c>
      <c r="M27" s="76">
        <v>0</v>
      </c>
      <c r="N27" s="76">
        <f>18/31</f>
        <v>0.58064516129032262</v>
      </c>
      <c r="O27" s="17">
        <v>0</v>
      </c>
      <c r="P27" s="22">
        <f t="shared" si="0"/>
        <v>0</v>
      </c>
      <c r="Q27" s="88">
        <f t="shared" si="1"/>
        <v>0</v>
      </c>
      <c r="R27" s="88">
        <f t="shared" si="2"/>
        <v>0</v>
      </c>
      <c r="S27" s="88">
        <f t="shared" si="6"/>
        <v>0</v>
      </c>
      <c r="T27" s="88">
        <f t="shared" si="6"/>
        <v>0</v>
      </c>
      <c r="U27" s="89">
        <f t="shared" si="3"/>
        <v>1033.116</v>
      </c>
      <c r="X27" s="90"/>
      <c r="Y27"/>
    </row>
    <row r="28" spans="1:25">
      <c r="B28"/>
      <c r="C28" s="49"/>
      <c r="D28" s="1"/>
      <c r="G28" s="76">
        <f t="shared" ref="G28:N28" si="7">G6*$O$6+G11*$O$11+G12*$O$12+G7*$O$7+G8*$O$8+G9*$O9+G10*$O$10+G13*$O$13+G14*$O$14+G15*$O$15+G16*$O$16+G17*$O$17+G18*$O$18+G19*$O$19+G20*$O$20+G21*$O$21+G22*$O$22+G23*$O$23+G24*$O$24+G25*$O$25+G26*$O$26+G27*$O$27</f>
        <v>4</v>
      </c>
      <c r="H28" s="76">
        <f t="shared" si="7"/>
        <v>12.82</v>
      </c>
      <c r="I28" s="76">
        <f t="shared" si="7"/>
        <v>0</v>
      </c>
      <c r="J28" s="76">
        <f t="shared" si="7"/>
        <v>0</v>
      </c>
      <c r="K28" s="76">
        <f t="shared" si="7"/>
        <v>6</v>
      </c>
      <c r="L28" s="76">
        <f t="shared" si="7"/>
        <v>13.534285714285716</v>
      </c>
      <c r="M28" s="76">
        <f t="shared" si="7"/>
        <v>29.062857142857141</v>
      </c>
      <c r="N28" s="76">
        <f t="shared" si="7"/>
        <v>22.58285714285714</v>
      </c>
      <c r="O28" s="88">
        <f>SUM(O6:O27)</f>
        <v>88</v>
      </c>
      <c r="P28" s="22">
        <f>SUM(P6:P27)</f>
        <v>100</v>
      </c>
      <c r="Q28" s="88">
        <f>SUM(Q6:Q27)</f>
        <v>4658</v>
      </c>
      <c r="R28" s="88">
        <f>SUM(R6:R27)</f>
        <v>1634</v>
      </c>
      <c r="X28"/>
      <c r="Y28"/>
    </row>
    <row r="29" spans="1:25">
      <c r="C29" s="49"/>
      <c r="D29" s="1"/>
      <c r="F29" s="95" t="s">
        <v>41</v>
      </c>
      <c r="G29" s="159">
        <f>SUM(G28:N28)</f>
        <v>88</v>
      </c>
      <c r="H29" s="159"/>
      <c r="I29" s="159"/>
      <c r="J29" s="159"/>
      <c r="K29" s="159"/>
      <c r="L29" s="159"/>
      <c r="M29" s="159"/>
      <c r="N29" s="159"/>
      <c r="O29" s="76"/>
    </row>
    <row r="30" spans="1:25">
      <c r="C30" s="49"/>
      <c r="D30" s="1"/>
      <c r="F30" s="95"/>
      <c r="G30" s="84" t="s">
        <v>65</v>
      </c>
      <c r="H30" s="84" t="s">
        <v>50</v>
      </c>
      <c r="I30" s="84" t="s">
        <v>52</v>
      </c>
      <c r="J30" s="84" t="s">
        <v>83</v>
      </c>
      <c r="K30" s="84" t="s">
        <v>51</v>
      </c>
      <c r="L30" s="84" t="s">
        <v>88</v>
      </c>
      <c r="M30" s="84" t="s">
        <v>3</v>
      </c>
      <c r="N30" s="84" t="s">
        <v>4</v>
      </c>
      <c r="O30" s="76"/>
    </row>
    <row r="31" spans="1:25">
      <c r="C31" s="49"/>
      <c r="D31" s="1"/>
      <c r="F31" s="49" t="s">
        <v>141</v>
      </c>
      <c r="G31" s="96">
        <f>G28/$G$29</f>
        <v>4.5454545454545456E-2</v>
      </c>
      <c r="H31" s="96">
        <f>H28/$G$29</f>
        <v>0.14568181818181819</v>
      </c>
      <c r="I31" s="96">
        <f t="shared" ref="I31:K31" si="8">I28/$G$29</f>
        <v>0</v>
      </c>
      <c r="J31" s="96">
        <f t="shared" si="8"/>
        <v>0</v>
      </c>
      <c r="K31" s="96">
        <f t="shared" si="8"/>
        <v>6.8181818181818177E-2</v>
      </c>
      <c r="L31" s="96">
        <f>L28/$G$29</f>
        <v>0.15379870129870132</v>
      </c>
      <c r="M31" s="96">
        <f>M28/$G$29</f>
        <v>0.33025974025974025</v>
      </c>
      <c r="N31" s="96">
        <f>N28/$G$29</f>
        <v>0.25662337662337659</v>
      </c>
      <c r="O31" s="76"/>
      <c r="P31" s="70"/>
      <c r="Q31" s="1"/>
      <c r="R31" s="1"/>
      <c r="S31" s="1"/>
      <c r="T31" s="1"/>
      <c r="U31" s="97"/>
    </row>
    <row r="32" spans="1:25">
      <c r="C32" s="49"/>
      <c r="D32" s="1"/>
      <c r="E32" s="1"/>
      <c r="F32" s="98" t="s">
        <v>36</v>
      </c>
      <c r="G32" s="96">
        <f>BPCA_Experimental!E3</f>
        <v>4.321199577936561E-2</v>
      </c>
      <c r="H32" s="99">
        <f>BPCA_Experimental!E4+BPCA_Experimental!E5</f>
        <v>0.14932644696928848</v>
      </c>
      <c r="I32" s="99"/>
      <c r="J32" s="99"/>
      <c r="K32" s="99">
        <f>BPCA_Experimental!E6</f>
        <v>6.7677328466173317E-2</v>
      </c>
      <c r="L32" s="99">
        <f>BPCA_Experimental!E7</f>
        <v>0.15332365253896416</v>
      </c>
      <c r="M32" s="99">
        <f>BPCA_Experimental!E8</f>
        <v>0.36028783063541181</v>
      </c>
      <c r="N32" s="99">
        <f>BPCA_Experimental!E9</f>
        <v>0.22617274561079651</v>
      </c>
      <c r="O32" s="76"/>
      <c r="Q32" s="1"/>
      <c r="R32" s="1"/>
      <c r="S32" s="1"/>
      <c r="T32" s="1"/>
      <c r="U32" s="97"/>
    </row>
    <row r="33" spans="1:21">
      <c r="C33" s="49"/>
      <c r="D33" s="1"/>
      <c r="E33" s="1"/>
      <c r="F33" s="98" t="s">
        <v>142</v>
      </c>
      <c r="G33" s="96">
        <f>BPCA_Experimental!E14</f>
        <v>1.452008162960407E-3</v>
      </c>
      <c r="H33" s="99">
        <f>BPCA_Experimental!E15+BPCA_Experimental!F16</f>
        <v>8.3658774694223576E-3</v>
      </c>
      <c r="I33" s="99"/>
      <c r="J33" s="99"/>
      <c r="K33" s="99">
        <f>BPCA_Experimental!E17</f>
        <v>6.4134346735433378E-4</v>
      </c>
      <c r="L33" s="99">
        <f>BPCA_Experimental!E18</f>
        <v>4.2218260434022901E-2</v>
      </c>
      <c r="M33" s="99">
        <f>BPCA_Experimental!E19</f>
        <v>2.7555996511292324E-2</v>
      </c>
      <c r="N33" s="99">
        <f>BPCA_Experimental!E20</f>
        <v>4.460973667386943E-2</v>
      </c>
      <c r="O33" s="76"/>
      <c r="T33" s="1"/>
      <c r="U33" s="97"/>
    </row>
    <row r="34" spans="1:21">
      <c r="F34" s="100" t="s">
        <v>42</v>
      </c>
      <c r="G34" s="76">
        <f>ABS(G31-G32)/G32</f>
        <v>5.1896461497172919E-2</v>
      </c>
      <c r="H34" s="76">
        <f>ABS(H31-H32)/H32</f>
        <v>2.4407121855781342E-2</v>
      </c>
      <c r="K34" s="76">
        <f>ABS(K31-K32)/K32</f>
        <v>7.4543385071267291E-3</v>
      </c>
      <c r="L34" s="76">
        <f>ABS(L31-L32)/L32</f>
        <v>3.0983397008262871E-3</v>
      </c>
      <c r="M34" s="76">
        <f>ABS(M31-M32)/M32</f>
        <v>8.334472558430113E-2</v>
      </c>
      <c r="N34" s="76">
        <f>ABS(N31-N32)/N32</f>
        <v>0.13463439606901292</v>
      </c>
      <c r="O34" s="76"/>
    </row>
    <row r="35" spans="1:21">
      <c r="E35" s="101"/>
      <c r="F35" s="98"/>
      <c r="O35" s="76"/>
    </row>
    <row r="36" spans="1:21">
      <c r="D36" s="1"/>
      <c r="E36" s="77"/>
      <c r="O36" s="76"/>
    </row>
    <row r="37" spans="1:21" ht="16" customHeight="1">
      <c r="D37" s="1"/>
      <c r="E37" s="102"/>
      <c r="F37" s="103" t="s">
        <v>127</v>
      </c>
      <c r="G37" s="76">
        <f>BPCA_Experimental!E23</f>
        <v>0.62707194387944809</v>
      </c>
      <c r="H37" s="156" t="s">
        <v>132</v>
      </c>
      <c r="I37" s="156"/>
      <c r="J37" s="156"/>
      <c r="K37" s="156"/>
      <c r="L37" s="156"/>
      <c r="M37" s="156"/>
      <c r="N37" s="156"/>
      <c r="O37" s="76"/>
    </row>
    <row r="38" spans="1:21" ht="16" customHeight="1">
      <c r="D38" s="1"/>
      <c r="E38" s="102"/>
      <c r="F38" s="103" t="s">
        <v>133</v>
      </c>
      <c r="G38" s="76">
        <f>G37*G43</f>
        <v>0.31980669137851853</v>
      </c>
      <c r="H38" s="156"/>
      <c r="I38" s="156"/>
      <c r="J38" s="156"/>
      <c r="K38" s="156"/>
      <c r="L38" s="156"/>
      <c r="M38" s="156"/>
      <c r="N38" s="156"/>
      <c r="O38" s="76"/>
    </row>
    <row r="39" spans="1:21" ht="13" customHeight="1">
      <c r="D39" s="104"/>
      <c r="F39" s="103" t="s">
        <v>130</v>
      </c>
      <c r="G39" s="76">
        <f>R28/Q28</f>
        <v>0.35079433233147272</v>
      </c>
      <c r="H39" s="156"/>
      <c r="I39" s="156"/>
      <c r="J39" s="156"/>
      <c r="K39" s="156"/>
      <c r="L39" s="156"/>
      <c r="M39" s="156"/>
      <c r="N39" s="156"/>
      <c r="O39" s="76"/>
      <c r="Q39" s="96"/>
    </row>
    <row r="40" spans="1:21">
      <c r="D40" s="104"/>
      <c r="F40" s="103" t="s">
        <v>42</v>
      </c>
      <c r="G40" s="76">
        <f>G38-G39</f>
        <v>-3.0987640952954199E-2</v>
      </c>
      <c r="H40" s="156"/>
      <c r="I40" s="156"/>
      <c r="J40" s="156"/>
      <c r="K40" s="156"/>
      <c r="L40" s="156"/>
      <c r="M40" s="156"/>
      <c r="N40" s="156"/>
      <c r="O40" s="76"/>
    </row>
    <row r="41" spans="1:21">
      <c r="D41" s="104"/>
      <c r="F41" s="1"/>
      <c r="G41" s="1"/>
      <c r="O41" s="76"/>
    </row>
    <row r="42" spans="1:21">
      <c r="D42" s="104"/>
      <c r="F42" s="105" t="s">
        <v>131</v>
      </c>
      <c r="G42" s="106">
        <v>10000</v>
      </c>
      <c r="O42" s="76"/>
      <c r="T42" s="76"/>
    </row>
    <row r="43" spans="1:21" ht="16" customHeight="1">
      <c r="D43" s="7"/>
      <c r="F43" s="98" t="s">
        <v>43</v>
      </c>
      <c r="G43" s="96">
        <f>BPCA_Experimental!E22</f>
        <v>0.51</v>
      </c>
      <c r="H43" s="156" t="s">
        <v>129</v>
      </c>
      <c r="I43" s="156"/>
      <c r="J43" s="156"/>
      <c r="K43" s="156"/>
      <c r="L43" s="156"/>
      <c r="M43" s="156"/>
      <c r="N43" s="156"/>
      <c r="O43" s="76"/>
      <c r="Q43" s="96"/>
    </row>
    <row r="44" spans="1:21">
      <c r="E44" s="77"/>
      <c r="F44" s="98" t="s">
        <v>128</v>
      </c>
      <c r="G44" s="96">
        <f>Q28/(G42-R28)</f>
        <v>0.55677743246473821</v>
      </c>
      <c r="H44" s="156"/>
      <c r="I44" s="156"/>
      <c r="J44" s="156"/>
      <c r="K44" s="156"/>
      <c r="L44" s="156"/>
      <c r="M44" s="156"/>
      <c r="N44" s="156"/>
      <c r="O44" s="76"/>
      <c r="Q44" s="96"/>
    </row>
    <row r="45" spans="1:21">
      <c r="H45" s="50"/>
      <c r="I45" s="50"/>
      <c r="J45" s="50"/>
      <c r="K45" s="50"/>
      <c r="L45" s="50"/>
      <c r="M45" s="50"/>
      <c r="N45" s="50"/>
      <c r="O45" s="76"/>
      <c r="Q45" s="96"/>
    </row>
    <row r="46" spans="1:21">
      <c r="E46" s="1"/>
      <c r="G46" s="107"/>
      <c r="H46" s="107"/>
      <c r="I46" s="107"/>
      <c r="J46" s="107"/>
      <c r="K46" s="107"/>
      <c r="L46" s="107"/>
      <c r="M46" s="107"/>
      <c r="N46" s="107"/>
      <c r="O46" s="76"/>
      <c r="P46" s="108"/>
    </row>
    <row r="47" spans="1:21">
      <c r="A47" s="109"/>
      <c r="B47" s="109"/>
      <c r="C47" s="109"/>
      <c r="D47" s="109"/>
      <c r="E47" s="109"/>
      <c r="F47" s="109"/>
      <c r="O47" s="76"/>
      <c r="P47" s="110"/>
      <c r="Q47" s="109"/>
      <c r="R47" s="109"/>
      <c r="S47" s="109"/>
      <c r="T47" s="109"/>
      <c r="U47" s="111"/>
    </row>
    <row r="48" spans="1:21">
      <c r="A48" s="112"/>
      <c r="B48" s="7"/>
      <c r="C48" s="113"/>
      <c r="D48" s="7"/>
      <c r="E48" s="7"/>
      <c r="F48" s="7"/>
      <c r="H48" s="99"/>
      <c r="I48" s="99"/>
      <c r="J48" s="99"/>
      <c r="K48" s="99"/>
      <c r="L48" s="99"/>
      <c r="M48" s="99"/>
      <c r="N48" s="99"/>
      <c r="O48" s="76"/>
      <c r="Q48" s="114"/>
      <c r="R48" s="114"/>
      <c r="S48" s="114"/>
      <c r="T48" s="114"/>
      <c r="U48" s="86"/>
    </row>
    <row r="49" spans="1:30">
      <c r="O49" s="76"/>
      <c r="P49" s="96"/>
      <c r="S49" s="17"/>
      <c r="T49" s="17"/>
      <c r="U49" s="17"/>
      <c r="V49" s="17"/>
      <c r="W49" s="17"/>
    </row>
    <row r="50" spans="1:30">
      <c r="O50" s="76"/>
      <c r="P50" s="96"/>
      <c r="Q50" s="115"/>
    </row>
    <row r="51" spans="1:30" s="22" customFormat="1">
      <c r="A51" s="78"/>
      <c r="B51" s="17"/>
      <c r="C51" s="93"/>
      <c r="D51" s="17"/>
      <c r="E51" s="17"/>
      <c r="F51" s="17"/>
      <c r="G51" s="76"/>
      <c r="H51" s="76"/>
      <c r="I51" s="76"/>
      <c r="J51" s="76"/>
      <c r="K51" s="76"/>
      <c r="L51" s="76"/>
      <c r="M51" s="76"/>
      <c r="N51" s="76"/>
      <c r="O51" s="76"/>
      <c r="Q51" s="17"/>
      <c r="R51" s="17"/>
      <c r="S51" s="88"/>
      <c r="T51" s="88"/>
      <c r="U51" s="89"/>
      <c r="V51" s="1"/>
      <c r="W51" s="1"/>
      <c r="X51" s="1"/>
      <c r="Y51" s="1"/>
      <c r="Z51" s="1"/>
      <c r="AA51" s="1"/>
      <c r="AB51" s="1"/>
      <c r="AC51" s="1"/>
      <c r="AD51" s="1"/>
    </row>
    <row r="52" spans="1:30" s="22" customFormat="1">
      <c r="A52" s="78"/>
      <c r="B52" s="17"/>
      <c r="C52" s="93"/>
      <c r="D52" s="17"/>
      <c r="E52" s="17"/>
      <c r="F52" s="17"/>
      <c r="G52" s="76"/>
      <c r="H52" s="76"/>
      <c r="I52" s="76"/>
      <c r="J52" s="76"/>
      <c r="K52" s="76"/>
      <c r="L52" s="76"/>
      <c r="M52" s="76"/>
      <c r="N52" s="76"/>
      <c r="O52" s="76"/>
      <c r="Q52" s="17"/>
      <c r="R52" s="17"/>
      <c r="S52" s="88"/>
      <c r="T52" s="88"/>
      <c r="U52" s="89"/>
      <c r="V52" s="1"/>
      <c r="W52" s="1"/>
      <c r="X52" s="1"/>
      <c r="Y52" s="1"/>
      <c r="Z52" s="1"/>
      <c r="AA52" s="1"/>
      <c r="AB52" s="1"/>
      <c r="AC52" s="1"/>
      <c r="AD52" s="1"/>
    </row>
    <row r="53" spans="1:30" s="22" customFormat="1">
      <c r="A53" s="78"/>
      <c r="B53" s="17"/>
      <c r="C53" s="93"/>
      <c r="D53" s="17"/>
      <c r="E53" s="17"/>
      <c r="F53" s="17"/>
      <c r="G53" s="76"/>
      <c r="H53" s="76"/>
      <c r="I53" s="76"/>
      <c r="J53" s="76"/>
      <c r="K53" s="76"/>
      <c r="L53" s="76"/>
      <c r="M53" s="76"/>
      <c r="N53" s="76"/>
      <c r="O53" s="76"/>
      <c r="Q53" s="17"/>
      <c r="R53" s="17"/>
      <c r="S53" s="88"/>
      <c r="T53" s="88"/>
      <c r="U53" s="89"/>
      <c r="V53" s="1"/>
      <c r="W53" s="1"/>
      <c r="X53" s="1"/>
      <c r="Y53" s="1"/>
      <c r="Z53" s="1"/>
      <c r="AA53" s="1"/>
      <c r="AB53" s="1"/>
      <c r="AC53" s="1"/>
      <c r="AD53" s="1"/>
    </row>
    <row r="54" spans="1:30" s="22" customFormat="1">
      <c r="A54" s="78"/>
      <c r="B54" s="17"/>
      <c r="C54" s="93"/>
      <c r="D54" s="17"/>
      <c r="E54" s="17"/>
      <c r="F54" s="17"/>
      <c r="G54" s="76"/>
      <c r="H54" s="50"/>
      <c r="I54" s="50"/>
      <c r="J54" s="50"/>
      <c r="K54" s="50"/>
      <c r="L54" s="50"/>
      <c r="M54" s="50"/>
      <c r="N54" s="50"/>
      <c r="O54" s="76"/>
      <c r="Q54" s="17"/>
      <c r="R54" s="17"/>
      <c r="S54" s="88"/>
      <c r="T54" s="88"/>
      <c r="U54" s="89"/>
      <c r="V54" s="1"/>
      <c r="W54" s="1"/>
      <c r="X54" s="1"/>
      <c r="Y54" s="1"/>
      <c r="Z54" s="1"/>
      <c r="AA54" s="1"/>
      <c r="AB54" s="1"/>
      <c r="AC54" s="1"/>
      <c r="AD54" s="1"/>
    </row>
    <row r="55" spans="1:30" s="22" customFormat="1">
      <c r="A55" s="78"/>
      <c r="B55" s="17"/>
      <c r="C55" s="93"/>
      <c r="D55" s="17"/>
      <c r="E55" s="17"/>
      <c r="F55" s="17"/>
      <c r="G55" s="76"/>
      <c r="H55" s="76"/>
      <c r="I55" s="76"/>
      <c r="J55" s="76"/>
      <c r="K55" s="76"/>
      <c r="L55" s="76"/>
      <c r="M55" s="76"/>
      <c r="N55" s="76"/>
      <c r="O55" s="76"/>
      <c r="Q55" s="17"/>
      <c r="R55" s="17"/>
      <c r="S55" s="88"/>
      <c r="T55" s="88"/>
      <c r="U55" s="89"/>
      <c r="V55" s="1"/>
      <c r="W55" s="1"/>
      <c r="X55" s="1"/>
      <c r="Y55" s="1"/>
      <c r="Z55" s="1"/>
      <c r="AA55" s="1"/>
      <c r="AB55" s="1"/>
      <c r="AC55" s="1"/>
      <c r="AD55" s="1"/>
    </row>
    <row r="57" spans="1:30" s="22" customFormat="1">
      <c r="A57" s="78"/>
      <c r="B57" s="17"/>
      <c r="C57" s="93"/>
      <c r="D57" s="17"/>
      <c r="E57" s="17"/>
      <c r="F57" s="17"/>
      <c r="G57" s="76"/>
      <c r="H57" s="76"/>
      <c r="I57" s="76"/>
      <c r="J57" s="76"/>
      <c r="K57" s="76"/>
      <c r="L57" s="76"/>
      <c r="M57" s="76"/>
      <c r="N57" s="76"/>
      <c r="O57" s="76"/>
      <c r="Q57" s="17"/>
      <c r="R57" s="17"/>
      <c r="S57" s="88"/>
      <c r="T57" s="88"/>
      <c r="U57" s="89"/>
      <c r="V57" s="1"/>
      <c r="W57" s="1"/>
      <c r="X57" s="1"/>
      <c r="Y57" s="1"/>
      <c r="Z57" s="1"/>
      <c r="AA57" s="1"/>
      <c r="AB57" s="1"/>
      <c r="AC57" s="1"/>
      <c r="AD57" s="1"/>
    </row>
    <row r="58" spans="1:30" s="22" customFormat="1">
      <c r="A58" s="78"/>
      <c r="B58" s="17"/>
      <c r="C58" s="93"/>
      <c r="D58" s="17"/>
      <c r="E58" s="17"/>
      <c r="F58" s="17"/>
      <c r="G58" s="76"/>
      <c r="H58" s="76"/>
      <c r="I58" s="76"/>
      <c r="J58" s="76"/>
      <c r="K58" s="76"/>
      <c r="L58" s="76"/>
      <c r="M58" s="76"/>
      <c r="N58" s="76"/>
      <c r="O58" s="76"/>
      <c r="Q58" s="17"/>
      <c r="R58" s="17"/>
      <c r="S58" s="88"/>
      <c r="T58" s="88"/>
      <c r="U58" s="89"/>
      <c r="V58" s="1"/>
      <c r="W58" s="1"/>
      <c r="X58" s="1"/>
      <c r="Y58" s="1"/>
      <c r="Z58" s="1"/>
      <c r="AA58" s="1"/>
      <c r="AB58" s="1"/>
      <c r="AC58" s="1"/>
      <c r="AD58" s="1"/>
    </row>
    <row r="59" spans="1:30" s="22" customFormat="1">
      <c r="A59" s="78"/>
      <c r="B59" s="17"/>
      <c r="C59" s="93"/>
      <c r="D59" s="17"/>
      <c r="E59" s="17"/>
      <c r="F59" s="17"/>
      <c r="G59" s="76"/>
      <c r="H59" s="76"/>
      <c r="I59" s="76"/>
      <c r="J59" s="76"/>
      <c r="K59" s="76"/>
      <c r="L59" s="76"/>
      <c r="M59" s="76"/>
      <c r="N59" s="76"/>
      <c r="O59" s="76"/>
      <c r="Q59" s="17"/>
      <c r="R59" s="17"/>
      <c r="S59" s="88"/>
      <c r="T59" s="88"/>
      <c r="U59" s="89"/>
      <c r="V59" s="1"/>
      <c r="W59" s="1"/>
      <c r="X59" s="1"/>
      <c r="Y59" s="1"/>
      <c r="Z59" s="1"/>
      <c r="AA59" s="1"/>
      <c r="AB59" s="1"/>
      <c r="AC59" s="1"/>
      <c r="AD59" s="1"/>
    </row>
    <row r="60" spans="1:30" s="22" customFormat="1">
      <c r="A60" s="78"/>
      <c r="B60" s="17"/>
      <c r="C60" s="93"/>
      <c r="D60" s="17"/>
      <c r="E60" s="17"/>
      <c r="F60" s="17"/>
      <c r="G60" s="76"/>
      <c r="H60" s="76"/>
      <c r="I60" s="76"/>
      <c r="J60" s="76"/>
      <c r="K60" s="76"/>
      <c r="L60" s="76"/>
      <c r="M60" s="76"/>
      <c r="N60" s="76"/>
      <c r="O60" s="76"/>
      <c r="Q60" s="17"/>
      <c r="R60" s="17"/>
      <c r="S60" s="88"/>
      <c r="T60" s="88"/>
      <c r="U60" s="89"/>
      <c r="V60" s="1"/>
      <c r="W60" s="1"/>
      <c r="X60" s="1"/>
      <c r="Y60" s="1"/>
      <c r="Z60" s="1"/>
      <c r="AA60" s="1"/>
      <c r="AB60" s="1"/>
      <c r="AC60" s="1"/>
      <c r="AD60" s="1"/>
    </row>
    <row r="61" spans="1:30" s="22" customFormat="1">
      <c r="A61" s="78"/>
      <c r="B61" s="17"/>
      <c r="C61" s="93"/>
      <c r="D61" s="17"/>
      <c r="E61" s="17"/>
      <c r="F61" s="17"/>
      <c r="G61" s="76"/>
      <c r="H61" s="76"/>
      <c r="I61" s="76"/>
      <c r="J61" s="76"/>
      <c r="K61" s="76"/>
      <c r="L61" s="76"/>
      <c r="M61" s="76"/>
      <c r="N61" s="76"/>
      <c r="O61" s="76"/>
      <c r="Q61" s="17"/>
      <c r="R61" s="17"/>
      <c r="S61" s="88"/>
      <c r="T61" s="88"/>
      <c r="U61" s="89"/>
      <c r="V61" s="1"/>
      <c r="W61" s="1"/>
      <c r="X61" s="1"/>
      <c r="Y61" s="1"/>
      <c r="Z61" s="1"/>
      <c r="AA61" s="1"/>
      <c r="AB61" s="1"/>
      <c r="AC61" s="1"/>
      <c r="AD61" s="1"/>
    </row>
    <row r="62" spans="1:30" s="22" customFormat="1">
      <c r="A62" s="78"/>
      <c r="B62" s="17"/>
      <c r="C62" s="93"/>
      <c r="D62" s="17"/>
      <c r="E62" s="17"/>
      <c r="F62" s="17"/>
      <c r="G62" s="76"/>
      <c r="H62" s="76"/>
      <c r="I62" s="76"/>
      <c r="J62" s="76"/>
      <c r="K62" s="76"/>
      <c r="L62" s="76"/>
      <c r="M62" s="76"/>
      <c r="N62" s="76"/>
      <c r="O62" s="76"/>
      <c r="Q62" s="17"/>
      <c r="R62" s="17"/>
      <c r="S62" s="88"/>
      <c r="T62" s="88"/>
      <c r="U62" s="89"/>
      <c r="V62" s="1"/>
      <c r="W62" s="1"/>
      <c r="X62" s="1"/>
      <c r="Y62" s="1"/>
      <c r="Z62" s="1"/>
      <c r="AA62" s="1"/>
      <c r="AB62" s="1"/>
      <c r="AC62" s="1"/>
      <c r="AD62" s="1"/>
    </row>
    <row r="63" spans="1:30" s="22" customFormat="1">
      <c r="A63" s="78"/>
      <c r="B63" s="17"/>
      <c r="C63" s="93"/>
      <c r="D63" s="88"/>
      <c r="E63" s="88"/>
      <c r="F63" s="17"/>
      <c r="G63" s="76"/>
      <c r="H63" s="76"/>
      <c r="I63" s="76"/>
      <c r="J63" s="76"/>
      <c r="K63" s="76"/>
      <c r="L63" s="76"/>
      <c r="M63" s="76"/>
      <c r="N63" s="76"/>
      <c r="O63" s="76"/>
      <c r="Q63" s="17"/>
      <c r="R63" s="17"/>
      <c r="S63" s="88"/>
      <c r="T63" s="88"/>
      <c r="U63" s="89"/>
      <c r="V63" s="1"/>
      <c r="W63" s="1"/>
      <c r="X63" s="1"/>
      <c r="Y63" s="1"/>
      <c r="Z63" s="1"/>
      <c r="AA63" s="1"/>
      <c r="AB63" s="1"/>
      <c r="AC63" s="1"/>
      <c r="AD63" s="1"/>
    </row>
    <row r="64" spans="1:30" s="22" customFormat="1">
      <c r="A64" s="78"/>
      <c r="B64" s="17"/>
      <c r="C64" s="93"/>
      <c r="D64" s="88"/>
      <c r="E64" s="88"/>
      <c r="F64" s="17"/>
      <c r="G64" s="76"/>
      <c r="H64" s="76"/>
      <c r="I64" s="76"/>
      <c r="J64" s="76"/>
      <c r="K64" s="76"/>
      <c r="L64" s="76"/>
      <c r="M64" s="76"/>
      <c r="N64" s="76"/>
      <c r="O64" s="76"/>
      <c r="Q64" s="17"/>
      <c r="R64" s="17"/>
      <c r="S64" s="88"/>
      <c r="T64" s="88"/>
      <c r="U64" s="89"/>
      <c r="V64" s="1"/>
      <c r="W64" s="1"/>
      <c r="X64" s="1"/>
      <c r="Y64" s="1"/>
      <c r="Z64" s="1"/>
      <c r="AA64" s="1"/>
      <c r="AB64" s="1"/>
      <c r="AC64" s="1"/>
      <c r="AD64" s="1"/>
    </row>
    <row r="65" spans="1:30" s="22" customFormat="1">
      <c r="A65" s="78"/>
      <c r="B65" s="17"/>
      <c r="C65" s="93"/>
      <c r="D65" s="17"/>
      <c r="E65" s="17"/>
      <c r="F65" s="17"/>
      <c r="G65" s="76"/>
      <c r="H65" s="76"/>
      <c r="I65" s="76"/>
      <c r="J65" s="76"/>
      <c r="K65" s="76"/>
      <c r="L65" s="76"/>
      <c r="M65" s="76"/>
      <c r="N65" s="76"/>
      <c r="O65" s="76"/>
      <c r="Q65" s="17"/>
      <c r="R65" s="17"/>
      <c r="S65" s="88"/>
      <c r="T65" s="88"/>
      <c r="U65" s="89"/>
      <c r="V65" s="1"/>
      <c r="W65" s="1"/>
      <c r="X65" s="1"/>
      <c r="Y65" s="1"/>
      <c r="Z65" s="1"/>
      <c r="AA65" s="1"/>
      <c r="AB65" s="1"/>
      <c r="AC65" s="1"/>
      <c r="AD65" s="1"/>
    </row>
    <row r="66" spans="1:30" s="22" customFormat="1">
      <c r="A66" s="78"/>
      <c r="B66" s="17"/>
      <c r="C66" s="93"/>
      <c r="D66" s="17"/>
      <c r="E66" s="17"/>
      <c r="F66" s="17"/>
      <c r="G66" s="76"/>
      <c r="H66" s="76"/>
      <c r="I66" s="76"/>
      <c r="J66" s="76"/>
      <c r="K66" s="76"/>
      <c r="L66" s="76"/>
      <c r="M66" s="76"/>
      <c r="N66" s="76"/>
      <c r="O66" s="76"/>
      <c r="Q66" s="17"/>
      <c r="R66" s="17"/>
      <c r="S66" s="88"/>
      <c r="T66" s="88"/>
      <c r="U66" s="89"/>
      <c r="V66" s="1"/>
      <c r="W66" s="1"/>
      <c r="X66" s="1"/>
      <c r="Y66" s="1"/>
      <c r="Z66" s="1"/>
      <c r="AA66" s="1"/>
      <c r="AB66" s="1"/>
      <c r="AC66" s="1"/>
      <c r="AD66" s="1"/>
    </row>
    <row r="67" spans="1:30" s="22" customFormat="1">
      <c r="A67" s="78"/>
      <c r="B67" s="17"/>
      <c r="C67" s="93"/>
      <c r="D67" s="14"/>
      <c r="E67" s="116"/>
      <c r="F67" s="17"/>
      <c r="G67" s="76"/>
      <c r="H67" s="76"/>
      <c r="I67" s="76"/>
      <c r="J67" s="76"/>
      <c r="K67" s="76"/>
      <c r="L67" s="76"/>
      <c r="M67" s="76"/>
      <c r="N67" s="76"/>
      <c r="O67" s="76"/>
      <c r="Q67" s="17"/>
      <c r="R67" s="17"/>
      <c r="S67" s="88"/>
      <c r="T67" s="88"/>
      <c r="U67" s="89"/>
      <c r="V67" s="1"/>
      <c r="W67" s="1"/>
      <c r="X67" s="1"/>
      <c r="Y67" s="1"/>
      <c r="Z67" s="1"/>
      <c r="AA67" s="1"/>
      <c r="AB67" s="1"/>
      <c r="AC67" s="1"/>
      <c r="AD67" s="1"/>
    </row>
    <row r="68" spans="1:30" s="22" customFormat="1">
      <c r="A68" s="78"/>
      <c r="B68" s="17"/>
      <c r="C68" s="93"/>
      <c r="D68" s="14"/>
      <c r="E68" s="116"/>
      <c r="F68" s="17"/>
      <c r="G68" s="76"/>
      <c r="H68" s="76"/>
      <c r="I68" s="76"/>
      <c r="J68" s="76"/>
      <c r="K68" s="76"/>
      <c r="L68" s="76"/>
      <c r="M68" s="76"/>
      <c r="N68" s="76"/>
      <c r="O68" s="17"/>
      <c r="Q68" s="17"/>
      <c r="R68" s="17"/>
      <c r="S68" s="88"/>
      <c r="T68" s="88"/>
      <c r="U68" s="89"/>
      <c r="V68" s="1"/>
      <c r="W68" s="1"/>
      <c r="X68" s="1"/>
      <c r="Y68" s="1"/>
      <c r="Z68" s="1"/>
      <c r="AA68" s="1"/>
      <c r="AB68" s="1"/>
      <c r="AC68" s="1"/>
      <c r="AD68" s="1"/>
    </row>
    <row r="69" spans="1:30" s="22" customFormat="1">
      <c r="A69" s="78"/>
      <c r="B69" s="17"/>
      <c r="C69" s="93"/>
      <c r="D69" s="14"/>
      <c r="E69" s="116"/>
      <c r="F69" s="17"/>
      <c r="G69" s="76"/>
      <c r="H69" s="76"/>
      <c r="I69" s="76"/>
      <c r="J69" s="76"/>
      <c r="K69" s="76"/>
      <c r="L69" s="76"/>
      <c r="M69" s="76"/>
      <c r="N69" s="76"/>
      <c r="O69" s="17"/>
      <c r="Q69" s="17"/>
      <c r="R69" s="17"/>
      <c r="S69" s="88"/>
      <c r="T69" s="88"/>
      <c r="U69" s="89"/>
      <c r="V69" s="1"/>
      <c r="W69" s="1"/>
      <c r="X69" s="1"/>
      <c r="Y69" s="1"/>
      <c r="Z69" s="1"/>
      <c r="AA69" s="1"/>
      <c r="AB69" s="1"/>
      <c r="AC69" s="1"/>
      <c r="AD69" s="1"/>
    </row>
    <row r="70" spans="1:30" s="22" customFormat="1">
      <c r="A70" s="78"/>
      <c r="B70" s="17"/>
      <c r="C70" s="93"/>
      <c r="D70" s="14"/>
      <c r="E70" s="116"/>
      <c r="F70" s="17"/>
      <c r="G70" s="76"/>
      <c r="H70" s="76"/>
      <c r="I70" s="76"/>
      <c r="J70" s="76"/>
      <c r="K70" s="76"/>
      <c r="L70" s="76"/>
      <c r="M70" s="76"/>
      <c r="N70" s="76"/>
      <c r="O70" s="17"/>
      <c r="Q70" s="17"/>
      <c r="R70" s="17"/>
      <c r="S70" s="88"/>
      <c r="T70" s="88"/>
      <c r="U70" s="89"/>
      <c r="V70" s="1"/>
      <c r="W70" s="1"/>
      <c r="X70" s="1"/>
      <c r="Y70" s="1"/>
      <c r="Z70" s="1"/>
      <c r="AA70" s="1"/>
      <c r="AB70" s="1"/>
      <c r="AC70" s="1"/>
      <c r="AD70" s="1"/>
    </row>
    <row r="71" spans="1:30" s="22" customFormat="1">
      <c r="A71" s="78"/>
      <c r="B71" s="17"/>
      <c r="C71" s="93"/>
      <c r="D71" s="116"/>
      <c r="E71" s="116"/>
      <c r="F71" s="17"/>
      <c r="G71" s="76"/>
      <c r="H71" s="76"/>
      <c r="I71" s="76"/>
      <c r="J71" s="76"/>
      <c r="K71" s="76"/>
      <c r="L71" s="76"/>
      <c r="M71" s="76"/>
      <c r="N71" s="76"/>
      <c r="O71" s="17"/>
      <c r="Q71" s="17"/>
      <c r="R71" s="17"/>
      <c r="S71" s="88"/>
      <c r="T71" s="88"/>
      <c r="U71" s="89"/>
      <c r="V71" s="1"/>
      <c r="W71" s="1"/>
      <c r="X71" s="1"/>
      <c r="Y71" s="1"/>
      <c r="Z71" s="1"/>
      <c r="AA71" s="1"/>
      <c r="AB71" s="1"/>
      <c r="AC71" s="1"/>
      <c r="AD71" s="1"/>
    </row>
  </sheetData>
  <mergeCells count="6">
    <mergeCell ref="H43:N44"/>
    <mergeCell ref="B2:U2"/>
    <mergeCell ref="A4:U4"/>
    <mergeCell ref="X5:AD5"/>
    <mergeCell ref="G29:N29"/>
    <mergeCell ref="H37:N40"/>
  </mergeCells>
  <hyperlinks>
    <hyperlink ref="B7" r:id="rId1" display="dibenzofuran_Si" xr:uid="{6908668B-B70B-3949-89E7-32CD9EC98D57}"/>
    <hyperlink ref="B8" r:id="rId2" display="phenalene" xr:uid="{8668DAEF-2416-1548-BA1E-9EF46AE6E51D}"/>
    <hyperlink ref="B9" r:id="rId3" display="phenanthrene" xr:uid="{B9103286-4EDC-5E4F-8971-9F6B9930B7E6}"/>
    <hyperlink ref="B10" r:id="rId4" display="anthracene" xr:uid="{8060C27E-839A-3845-98F9-2EA90D22DAB9}"/>
    <hyperlink ref="B13" r:id="rId5" display="pyrene" xr:uid="{C723DFA2-79EE-D94B-92E3-57E9115F7A46}"/>
    <hyperlink ref="B15" r:id="rId6" display="benzo[c]fluorene" xr:uid="{0C650C61-F5E2-4845-AB89-BAB00BF002EB}"/>
    <hyperlink ref="B18" r:id="rId7" display="coronene" xr:uid="{4518365D-A999-624B-BF77-2D04E231019F}"/>
    <hyperlink ref="B14" r:id="rId8" display="chrysene" xr:uid="{C5564609-93F5-7D41-8C69-478335B0B965}"/>
    <hyperlink ref="B16" r:id="rId9" display="Benz[e]acephenanthrylene" xr:uid="{4F92DE8F-DE8A-0547-AC9C-0D5C22B29801}"/>
    <hyperlink ref="B6" r:id="rId10" display="benzene" xr:uid="{6CF76626-3B64-E64A-A11D-9763EA238CEA}"/>
    <hyperlink ref="B17" r:id="rId11" display="benzo_b_fluorene" xr:uid="{FD72D7D7-E2C2-3248-BA8B-9077086265A0}"/>
    <hyperlink ref="B19" r:id="rId12" xr:uid="{1EC29352-B913-B040-9D30-3FCC45317891}"/>
    <hyperlink ref="B20" r:id="rId13" display="Benzo_a_pyrene" xr:uid="{8676FBFE-896D-7D4E-82C8-EBEFFA2346BC}"/>
    <hyperlink ref="B21" r:id="rId14" xr:uid="{2CDE49FC-C073-5D45-A163-8B9CA3057A29}"/>
    <hyperlink ref="B22" r:id="rId15" xr:uid="{3DE76BFA-0AA8-0C4A-88EB-35AFEAC7F50E}"/>
    <hyperlink ref="B23" r:id="rId16" xr:uid="{F6041834-4B44-1949-B778-490387BD2AC2}"/>
    <hyperlink ref="B25" r:id="rId17" xr:uid="{073B2368-5547-9F42-A3F8-413D388B47AE}"/>
    <hyperlink ref="B26" r:id="rId18" location="section=InChIKey" xr:uid="{AF3EDB01-5F64-E544-85AF-03059C79EA6C}"/>
    <hyperlink ref="B27" r:id="rId19" xr:uid="{31E42A18-EB6F-E04E-8EC8-FCE070AA739E}"/>
  </hyperlinks>
  <pageMargins left="0.7" right="0.7" top="0.75" bottom="0.75" header="0.3" footer="0.3"/>
  <pageSetup orientation="portrait" horizontalDpi="0" verticalDpi="0"/>
  <drawing r:id="rId2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CFD818-CD74-3C4F-90F4-6ED05AF73F01}">
  <sheetPr codeName="Sheet5"/>
  <dimension ref="A2:AD71"/>
  <sheetViews>
    <sheetView topLeftCell="A34" zoomScaleNormal="100" workbookViewId="0">
      <selection activeCell="O60" sqref="O60"/>
    </sheetView>
  </sheetViews>
  <sheetFormatPr baseColWidth="10" defaultRowHeight="16"/>
  <cols>
    <col min="1" max="1" width="8.6640625" style="78" customWidth="1"/>
    <col min="2" max="2" width="17" style="17" bestFit="1" customWidth="1"/>
    <col min="3" max="3" width="32.5" style="93" customWidth="1"/>
    <col min="4" max="4" width="31.83203125" style="17" bestFit="1" customWidth="1"/>
    <col min="5" max="5" width="10.83203125" style="17" customWidth="1"/>
    <col min="6" max="6" width="20.5" style="17" bestFit="1" customWidth="1"/>
    <col min="7" max="7" width="9.6640625" style="76" bestFit="1" customWidth="1"/>
    <col min="8" max="8" width="8.6640625" style="76" bestFit="1" customWidth="1"/>
    <col min="9" max="10" width="8.6640625" style="76" hidden="1" customWidth="1"/>
    <col min="11" max="11" width="10.1640625" style="76" customWidth="1"/>
    <col min="12" max="12" width="10.5" style="76" customWidth="1"/>
    <col min="13" max="13" width="9.83203125" style="76" customWidth="1"/>
    <col min="14" max="14" width="9.6640625" style="76" customWidth="1"/>
    <col min="15" max="15" width="17.33203125" style="17" customWidth="1"/>
    <col min="16" max="16" width="16.33203125" style="22" customWidth="1"/>
    <col min="17" max="18" width="10.83203125" style="17"/>
    <col min="19" max="19" width="10.83203125" style="88"/>
    <col min="20" max="20" width="12.83203125" style="88" customWidth="1"/>
    <col min="21" max="21" width="10.83203125" style="89"/>
    <col min="22" max="16384" width="10.83203125" style="1"/>
  </cols>
  <sheetData>
    <row r="2" spans="1:30">
      <c r="B2" s="157" t="s">
        <v>121</v>
      </c>
      <c r="C2" s="157"/>
      <c r="D2" s="157"/>
      <c r="E2" s="157"/>
      <c r="F2" s="157"/>
      <c r="G2" s="157"/>
      <c r="H2" s="157"/>
      <c r="I2" s="157"/>
      <c r="J2" s="157"/>
      <c r="K2" s="157"/>
      <c r="L2" s="157"/>
      <c r="M2" s="157"/>
      <c r="N2" s="157"/>
      <c r="O2" s="157"/>
      <c r="P2" s="157"/>
      <c r="Q2" s="157"/>
      <c r="R2" s="157"/>
      <c r="S2" s="157"/>
      <c r="T2" s="157"/>
      <c r="U2" s="157"/>
    </row>
    <row r="4" spans="1:30" s="79" customFormat="1" ht="26" customHeight="1">
      <c r="A4" s="158" t="s">
        <v>5</v>
      </c>
      <c r="B4" s="158"/>
      <c r="C4" s="158"/>
      <c r="D4" s="158"/>
      <c r="E4" s="158"/>
      <c r="F4" s="158"/>
      <c r="G4" s="158"/>
      <c r="H4" s="158"/>
      <c r="I4" s="158"/>
      <c r="J4" s="158"/>
      <c r="K4" s="158"/>
      <c r="L4" s="158"/>
      <c r="M4" s="158"/>
      <c r="N4" s="158"/>
      <c r="O4" s="158"/>
      <c r="P4" s="158"/>
      <c r="Q4" s="158"/>
      <c r="R4" s="158"/>
      <c r="S4" s="158"/>
      <c r="T4" s="158"/>
      <c r="U4" s="158"/>
    </row>
    <row r="5" spans="1:30" s="7" customFormat="1" ht="51">
      <c r="A5" s="15" t="s">
        <v>39</v>
      </c>
      <c r="B5" s="15" t="s">
        <v>6</v>
      </c>
      <c r="C5" s="15" t="s">
        <v>15</v>
      </c>
      <c r="D5" s="15" t="s">
        <v>23</v>
      </c>
      <c r="E5" s="15" t="s">
        <v>7</v>
      </c>
      <c r="F5" s="15" t="s">
        <v>8</v>
      </c>
      <c r="G5" s="80" t="str">
        <f>BPCA!C5</f>
        <v xml:space="preserve">B2CA-1 </v>
      </c>
      <c r="H5" s="80" t="str">
        <f>BPCA!G5</f>
        <v>B3CA-2</v>
      </c>
      <c r="I5" s="80" t="str">
        <f>BPCA!H5</f>
        <v>B3CA-3</v>
      </c>
      <c r="J5" s="80" t="str">
        <f>BPCA!I5</f>
        <v xml:space="preserve">B4CA-1 </v>
      </c>
      <c r="K5" s="80" t="str">
        <f>BPCA!J5</f>
        <v>B4CA-2</v>
      </c>
      <c r="L5" s="80" t="str">
        <f>BPCA!K5</f>
        <v>B4CA-3</v>
      </c>
      <c r="M5" s="80" t="str">
        <f>BPCA!L5</f>
        <v>B5CA</v>
      </c>
      <c r="N5" s="81" t="s">
        <v>4</v>
      </c>
      <c r="O5" s="82" t="s">
        <v>156</v>
      </c>
      <c r="P5" s="83" t="s">
        <v>9</v>
      </c>
      <c r="Q5" s="84" t="s">
        <v>10</v>
      </c>
      <c r="R5" s="84" t="s">
        <v>11</v>
      </c>
      <c r="S5" s="84" t="s">
        <v>12</v>
      </c>
      <c r="T5" s="84" t="s">
        <v>13</v>
      </c>
      <c r="U5" s="85" t="s">
        <v>14</v>
      </c>
      <c r="V5" s="86"/>
      <c r="X5" s="158" t="s">
        <v>40</v>
      </c>
      <c r="Y5" s="158"/>
      <c r="Z5" s="158"/>
      <c r="AA5" s="158"/>
      <c r="AB5" s="158"/>
      <c r="AC5" s="158"/>
      <c r="AD5" s="158"/>
    </row>
    <row r="6" spans="1:30" ht="66" customHeight="1">
      <c r="A6" s="78">
        <v>0</v>
      </c>
      <c r="B6" s="87" t="s">
        <v>16</v>
      </c>
      <c r="C6" s="1"/>
      <c r="D6" s="17">
        <v>6</v>
      </c>
      <c r="E6" s="17">
        <v>6</v>
      </c>
      <c r="F6" s="17">
        <v>1</v>
      </c>
      <c r="G6" s="76">
        <v>0</v>
      </c>
      <c r="H6" s="76">
        <v>0</v>
      </c>
      <c r="I6" s="76">
        <v>0</v>
      </c>
      <c r="J6" s="76">
        <v>0</v>
      </c>
      <c r="K6" s="76">
        <v>0</v>
      </c>
      <c r="L6" s="76">
        <v>0</v>
      </c>
      <c r="M6" s="76">
        <v>0</v>
      </c>
      <c r="N6" s="76">
        <v>0</v>
      </c>
      <c r="O6" s="88">
        <v>0</v>
      </c>
      <c r="P6" s="22">
        <f t="shared" ref="P6:P27" si="0">(O6/SUM(O$6:O$27)*100)</f>
        <v>0</v>
      </c>
      <c r="Q6" s="88">
        <f t="shared" ref="Q6:Q27" si="1">D6*O6</f>
        <v>0</v>
      </c>
      <c r="R6" s="88">
        <f t="shared" ref="R6:R27" si="2">E6*O6</f>
        <v>0</v>
      </c>
      <c r="S6" s="88">
        <f>(Q6/SUM(Q6:Q26)*100)</f>
        <v>0</v>
      </c>
      <c r="T6" s="88">
        <f>(R6/SUM(R6:R26)*100)</f>
        <v>0</v>
      </c>
      <c r="U6" s="89">
        <f t="shared" ref="U6:U27" si="3">(12.011*D6)+(1.008*E6)</f>
        <v>78.114000000000004</v>
      </c>
      <c r="X6"/>
      <c r="Y6"/>
    </row>
    <row r="7" spans="1:30" ht="82" customHeight="1">
      <c r="A7" s="78">
        <v>1</v>
      </c>
      <c r="B7" s="87" t="s">
        <v>17</v>
      </c>
      <c r="C7" s="1"/>
      <c r="D7" s="17">
        <v>13</v>
      </c>
      <c r="E7" s="17">
        <v>10</v>
      </c>
      <c r="F7" s="17">
        <v>2</v>
      </c>
      <c r="G7" s="76">
        <f>1</f>
        <v>1</v>
      </c>
      <c r="H7" s="76">
        <v>0</v>
      </c>
      <c r="I7" s="76">
        <v>0</v>
      </c>
      <c r="J7" s="76">
        <v>0</v>
      </c>
      <c r="K7" s="76">
        <v>0</v>
      </c>
      <c r="L7" s="76">
        <v>0</v>
      </c>
      <c r="M7" s="76">
        <v>0</v>
      </c>
      <c r="N7" s="76">
        <v>0</v>
      </c>
      <c r="O7" s="17">
        <v>0</v>
      </c>
      <c r="P7" s="22">
        <f t="shared" si="0"/>
        <v>0</v>
      </c>
      <c r="Q7" s="88">
        <f t="shared" si="1"/>
        <v>0</v>
      </c>
      <c r="R7" s="88">
        <f t="shared" si="2"/>
        <v>0</v>
      </c>
      <c r="S7" s="88">
        <f t="shared" ref="S7:T7" si="4">(Q7/SUM(Q7:Q29)*100)</f>
        <v>0</v>
      </c>
      <c r="T7" s="88">
        <f t="shared" si="4"/>
        <v>0</v>
      </c>
      <c r="U7" s="89">
        <f t="shared" si="3"/>
        <v>166.22300000000001</v>
      </c>
      <c r="X7" s="90"/>
      <c r="Y7"/>
    </row>
    <row r="8" spans="1:30" ht="100" customHeight="1">
      <c r="A8" s="78">
        <v>2</v>
      </c>
      <c r="B8" s="87" t="s">
        <v>18</v>
      </c>
      <c r="C8" s="1"/>
      <c r="D8" s="17">
        <v>13</v>
      </c>
      <c r="E8" s="17">
        <v>10</v>
      </c>
      <c r="F8" s="17">
        <v>3</v>
      </c>
      <c r="G8" s="76">
        <v>0</v>
      </c>
      <c r="H8" s="76">
        <v>1</v>
      </c>
      <c r="I8" s="76">
        <v>0</v>
      </c>
      <c r="J8" s="76">
        <v>0</v>
      </c>
      <c r="K8" s="76">
        <v>0</v>
      </c>
      <c r="L8" s="76">
        <v>0</v>
      </c>
      <c r="M8" s="76">
        <v>0</v>
      </c>
      <c r="N8" s="76">
        <v>0</v>
      </c>
      <c r="O8" s="17">
        <v>0</v>
      </c>
      <c r="P8" s="22">
        <f t="shared" si="0"/>
        <v>0</v>
      </c>
      <c r="Q8" s="88">
        <f t="shared" si="1"/>
        <v>0</v>
      </c>
      <c r="R8" s="88">
        <f t="shared" si="2"/>
        <v>0</v>
      </c>
      <c r="S8" s="88">
        <f>(Q8/SUM(Q8:Q30)*100)</f>
        <v>0</v>
      </c>
      <c r="T8" s="88">
        <f>(R8/SUM(R8:R30)*100)</f>
        <v>0</v>
      </c>
      <c r="U8" s="89">
        <f t="shared" si="3"/>
        <v>166.22300000000001</v>
      </c>
      <c r="X8" s="90"/>
      <c r="Y8"/>
    </row>
    <row r="9" spans="1:30" ht="79" customHeight="1">
      <c r="A9" s="91">
        <v>3</v>
      </c>
      <c r="B9" s="87" t="s">
        <v>19</v>
      </c>
      <c r="C9" s="1"/>
      <c r="D9" s="17">
        <v>14</v>
      </c>
      <c r="E9" s="17">
        <v>10</v>
      </c>
      <c r="F9" s="17">
        <v>3</v>
      </c>
      <c r="G9" s="92">
        <f>2/3</f>
        <v>0.66666666666666663</v>
      </c>
      <c r="H9" s="76">
        <v>0</v>
      </c>
      <c r="I9" s="76">
        <v>0</v>
      </c>
      <c r="J9" s="76">
        <v>0</v>
      </c>
      <c r="K9" s="76">
        <v>0</v>
      </c>
      <c r="L9" s="76">
        <f>1/3</f>
        <v>0.33333333333333331</v>
      </c>
      <c r="M9" s="76">
        <v>0</v>
      </c>
      <c r="N9" s="76">
        <v>0</v>
      </c>
      <c r="O9" s="17">
        <v>0</v>
      </c>
      <c r="P9" s="22">
        <f t="shared" si="0"/>
        <v>0</v>
      </c>
      <c r="Q9" s="88">
        <f t="shared" si="1"/>
        <v>0</v>
      </c>
      <c r="R9" s="88">
        <f t="shared" si="2"/>
        <v>0</v>
      </c>
      <c r="S9" s="88">
        <f>(Q9/SUM(Q9:Q31)*100)</f>
        <v>0</v>
      </c>
      <c r="T9" s="88">
        <f>(R9/SUM(R9:R31)*100)</f>
        <v>0</v>
      </c>
      <c r="U9" s="89">
        <f t="shared" si="3"/>
        <v>178.23400000000001</v>
      </c>
      <c r="X9" s="90"/>
      <c r="Y9"/>
    </row>
    <row r="10" spans="1:30" ht="83" customHeight="1">
      <c r="A10" s="91">
        <v>4</v>
      </c>
      <c r="B10" s="87" t="s">
        <v>20</v>
      </c>
      <c r="C10" s="1"/>
      <c r="D10" s="17">
        <v>14</v>
      </c>
      <c r="E10" s="17">
        <v>10</v>
      </c>
      <c r="F10" s="17">
        <v>3</v>
      </c>
      <c r="G10" s="76">
        <f>1</f>
        <v>1</v>
      </c>
      <c r="H10" s="76">
        <v>0</v>
      </c>
      <c r="I10" s="76">
        <v>0</v>
      </c>
      <c r="J10" s="76">
        <v>0</v>
      </c>
      <c r="K10" s="76">
        <v>0</v>
      </c>
      <c r="L10" s="76">
        <v>0</v>
      </c>
      <c r="M10" s="76">
        <v>0</v>
      </c>
      <c r="N10" s="76">
        <v>0</v>
      </c>
      <c r="O10" s="17">
        <v>0</v>
      </c>
      <c r="P10" s="22">
        <f t="shared" si="0"/>
        <v>0</v>
      </c>
      <c r="Q10" s="88">
        <f t="shared" si="1"/>
        <v>0</v>
      </c>
      <c r="R10" s="88">
        <f t="shared" si="2"/>
        <v>0</v>
      </c>
      <c r="S10" s="88">
        <f>(Q10/SUM(Q10:Q33)*100)</f>
        <v>0</v>
      </c>
      <c r="T10" s="88">
        <f>(R10/SUM(R10:R33)*100)</f>
        <v>0</v>
      </c>
      <c r="U10" s="89">
        <f t="shared" si="3"/>
        <v>178.23400000000001</v>
      </c>
      <c r="X10" s="90"/>
      <c r="Y10"/>
    </row>
    <row r="11" spans="1:30" ht="83" customHeight="1">
      <c r="A11" s="78">
        <v>5</v>
      </c>
      <c r="B11" s="87" t="s">
        <v>54</v>
      </c>
      <c r="C11" s="1"/>
      <c r="D11" s="17">
        <v>18</v>
      </c>
      <c r="E11" s="17">
        <v>12</v>
      </c>
      <c r="F11" s="17">
        <v>4</v>
      </c>
      <c r="G11" s="76">
        <f>2/4</f>
        <v>0.5</v>
      </c>
      <c r="H11" s="76">
        <v>0</v>
      </c>
      <c r="I11" s="76">
        <v>0</v>
      </c>
      <c r="J11" s="76">
        <v>0</v>
      </c>
      <c r="K11" s="76">
        <f>2/4</f>
        <v>0.5</v>
      </c>
      <c r="L11" s="76">
        <v>0</v>
      </c>
      <c r="M11" s="76">
        <v>0</v>
      </c>
      <c r="N11" s="76">
        <v>0</v>
      </c>
      <c r="O11" s="17">
        <v>0</v>
      </c>
      <c r="P11" s="22">
        <f t="shared" si="0"/>
        <v>0</v>
      </c>
      <c r="Q11" s="88">
        <f t="shared" si="1"/>
        <v>0</v>
      </c>
      <c r="R11" s="88">
        <f t="shared" si="2"/>
        <v>0</v>
      </c>
      <c r="U11" s="89">
        <f t="shared" si="3"/>
        <v>228.29399999999998</v>
      </c>
      <c r="X11" s="90"/>
      <c r="Y11"/>
    </row>
    <row r="12" spans="1:30" ht="83" customHeight="1">
      <c r="A12" s="78">
        <v>6</v>
      </c>
      <c r="B12" s="87" t="s">
        <v>53</v>
      </c>
      <c r="C12" s="1"/>
      <c r="D12" s="17">
        <v>22</v>
      </c>
      <c r="E12" s="17">
        <v>14</v>
      </c>
      <c r="F12" s="17">
        <v>5</v>
      </c>
      <c r="G12" s="76">
        <f>2/5</f>
        <v>0.4</v>
      </c>
      <c r="H12" s="76">
        <v>0</v>
      </c>
      <c r="I12" s="76">
        <v>0</v>
      </c>
      <c r="J12" s="76">
        <v>0</v>
      </c>
      <c r="K12" s="76">
        <v>0.6</v>
      </c>
      <c r="L12" s="76">
        <v>0</v>
      </c>
      <c r="M12" s="76">
        <v>0</v>
      </c>
      <c r="N12" s="76">
        <v>0</v>
      </c>
      <c r="O12" s="17">
        <v>11</v>
      </c>
      <c r="P12" s="22">
        <f t="shared" si="0"/>
        <v>9.9099099099099099</v>
      </c>
      <c r="Q12" s="88">
        <f t="shared" si="1"/>
        <v>242</v>
      </c>
      <c r="R12" s="88">
        <f t="shared" si="2"/>
        <v>154</v>
      </c>
      <c r="U12" s="89">
        <f t="shared" si="3"/>
        <v>278.35399999999998</v>
      </c>
      <c r="X12" s="90"/>
      <c r="Y12"/>
    </row>
    <row r="13" spans="1:30" ht="91" customHeight="1">
      <c r="A13" s="91">
        <v>7</v>
      </c>
      <c r="B13" s="87" t="s">
        <v>21</v>
      </c>
      <c r="C13" s="1"/>
      <c r="D13" s="17">
        <v>16</v>
      </c>
      <c r="E13" s="17">
        <v>10</v>
      </c>
      <c r="F13" s="17">
        <v>4</v>
      </c>
      <c r="G13" s="76">
        <v>0</v>
      </c>
      <c r="H13" s="76">
        <f>2/4</f>
        <v>0.5</v>
      </c>
      <c r="I13" s="76">
        <v>0</v>
      </c>
      <c r="J13" s="76">
        <v>0</v>
      </c>
      <c r="K13" s="76">
        <v>0</v>
      </c>
      <c r="L13" s="76">
        <f>2/4</f>
        <v>0.5</v>
      </c>
      <c r="M13" s="76">
        <v>0</v>
      </c>
      <c r="N13" s="76">
        <v>0</v>
      </c>
      <c r="O13" s="17">
        <v>0</v>
      </c>
      <c r="P13" s="22">
        <f t="shared" si="0"/>
        <v>0</v>
      </c>
      <c r="Q13" s="88">
        <f t="shared" si="1"/>
        <v>0</v>
      </c>
      <c r="R13" s="88">
        <f t="shared" si="2"/>
        <v>0</v>
      </c>
      <c r="S13" s="88">
        <f>(Q13/SUM(Q13:Q34)*100)</f>
        <v>0</v>
      </c>
      <c r="T13" s="88">
        <f>(R13/SUM(R13:R34)*100)</f>
        <v>0</v>
      </c>
      <c r="U13" s="89">
        <f t="shared" si="3"/>
        <v>202.256</v>
      </c>
      <c r="X13" s="90"/>
      <c r="Y13"/>
    </row>
    <row r="14" spans="1:30" ht="91" customHeight="1">
      <c r="A14" s="91">
        <v>8</v>
      </c>
      <c r="B14" s="87" t="s">
        <v>22</v>
      </c>
      <c r="C14" s="1"/>
      <c r="D14" s="17">
        <v>18</v>
      </c>
      <c r="E14" s="17">
        <v>12</v>
      </c>
      <c r="F14" s="17">
        <v>4</v>
      </c>
      <c r="G14" s="76">
        <v>0.5</v>
      </c>
      <c r="H14" s="76">
        <v>0</v>
      </c>
      <c r="I14" s="76">
        <v>0</v>
      </c>
      <c r="J14" s="76">
        <v>0</v>
      </c>
      <c r="K14" s="76">
        <v>0</v>
      </c>
      <c r="L14" s="76">
        <v>0.5</v>
      </c>
      <c r="M14" s="76">
        <v>0</v>
      </c>
      <c r="N14" s="76">
        <v>0</v>
      </c>
      <c r="O14" s="17">
        <v>0</v>
      </c>
      <c r="P14" s="22">
        <f t="shared" si="0"/>
        <v>0</v>
      </c>
      <c r="Q14" s="88">
        <f t="shared" si="1"/>
        <v>0</v>
      </c>
      <c r="R14" s="88">
        <f t="shared" si="2"/>
        <v>0</v>
      </c>
      <c r="S14" s="88">
        <f>(Q14/SUM(Q14:Q35)*100)</f>
        <v>0</v>
      </c>
      <c r="T14" s="88">
        <f>(R14/SUM(R14:R35)*100)</f>
        <v>0</v>
      </c>
      <c r="U14" s="89">
        <f t="shared" si="3"/>
        <v>228.29399999999998</v>
      </c>
      <c r="X14" s="90"/>
      <c r="Y14"/>
    </row>
    <row r="15" spans="1:30" ht="69" customHeight="1">
      <c r="A15" s="78">
        <v>9</v>
      </c>
      <c r="B15" s="87" t="s">
        <v>26</v>
      </c>
      <c r="C15" s="1"/>
      <c r="D15" s="17">
        <v>17</v>
      </c>
      <c r="E15" s="17">
        <v>12</v>
      </c>
      <c r="F15" s="17">
        <v>3</v>
      </c>
      <c r="G15" s="76">
        <f>2/3</f>
        <v>0.66666666666666663</v>
      </c>
      <c r="H15" s="76">
        <v>0</v>
      </c>
      <c r="I15" s="76">
        <v>0</v>
      </c>
      <c r="J15" s="76">
        <v>0</v>
      </c>
      <c r="K15" s="76">
        <v>0</v>
      </c>
      <c r="L15" s="76">
        <f>1/3</f>
        <v>0.33333333333333331</v>
      </c>
      <c r="M15" s="76">
        <v>0</v>
      </c>
      <c r="N15" s="76">
        <v>0</v>
      </c>
      <c r="O15" s="17">
        <v>0</v>
      </c>
      <c r="P15" s="22">
        <f t="shared" si="0"/>
        <v>0</v>
      </c>
      <c r="Q15" s="88">
        <f t="shared" si="1"/>
        <v>0</v>
      </c>
      <c r="R15" s="88">
        <f t="shared" si="2"/>
        <v>0</v>
      </c>
      <c r="S15" s="88">
        <f>(Q15/SUM(Q15:Q35)*100)</f>
        <v>0</v>
      </c>
      <c r="T15" s="88">
        <f>(R15/SUM(R15:R35)*100)</f>
        <v>0</v>
      </c>
      <c r="U15" s="89">
        <f t="shared" si="3"/>
        <v>216.28299999999999</v>
      </c>
      <c r="X15" s="90"/>
      <c r="Y15"/>
    </row>
    <row r="16" spans="1:30" ht="102" customHeight="1">
      <c r="A16" s="78">
        <v>10</v>
      </c>
      <c r="B16" s="87" t="s">
        <v>27</v>
      </c>
      <c r="C16" s="1"/>
      <c r="D16" s="17">
        <v>20</v>
      </c>
      <c r="E16" s="17">
        <v>12</v>
      </c>
      <c r="F16" s="17">
        <v>4</v>
      </c>
      <c r="G16" s="76">
        <f>2/4</f>
        <v>0.5</v>
      </c>
      <c r="H16" s="76">
        <f>1/4</f>
        <v>0.25</v>
      </c>
      <c r="I16" s="76">
        <v>0</v>
      </c>
      <c r="J16" s="76">
        <v>0</v>
      </c>
      <c r="K16" s="76">
        <v>0</v>
      </c>
      <c r="L16" s="76">
        <v>0</v>
      </c>
      <c r="M16" s="76">
        <v>0.25</v>
      </c>
      <c r="N16" s="76">
        <v>0</v>
      </c>
      <c r="O16" s="17">
        <v>0</v>
      </c>
      <c r="P16" s="22">
        <f t="shared" si="0"/>
        <v>0</v>
      </c>
      <c r="Q16" s="88">
        <f t="shared" si="1"/>
        <v>0</v>
      </c>
      <c r="R16" s="88">
        <f t="shared" si="2"/>
        <v>0</v>
      </c>
      <c r="S16" s="88">
        <f>(Q16/SUM(Q16:Q37)*100)</f>
        <v>0</v>
      </c>
      <c r="T16" s="88">
        <f>(R16/SUM(R16:R37)*100)</f>
        <v>0</v>
      </c>
      <c r="U16" s="89">
        <f t="shared" si="3"/>
        <v>252.31599999999997</v>
      </c>
      <c r="X16" s="90"/>
      <c r="Y16"/>
    </row>
    <row r="17" spans="1:25" ht="71" customHeight="1">
      <c r="A17" s="78">
        <v>11</v>
      </c>
      <c r="B17" s="87" t="s">
        <v>28</v>
      </c>
      <c r="C17" s="1"/>
      <c r="D17" s="17">
        <v>17</v>
      </c>
      <c r="E17" s="17">
        <v>12</v>
      </c>
      <c r="F17" s="17">
        <v>3</v>
      </c>
      <c r="G17" s="76">
        <f>G15</f>
        <v>0.66666666666666663</v>
      </c>
      <c r="H17" s="76">
        <v>0</v>
      </c>
      <c r="I17" s="76">
        <v>0</v>
      </c>
      <c r="J17" s="76">
        <v>0</v>
      </c>
      <c r="K17" s="76">
        <v>0</v>
      </c>
      <c r="L17" s="76">
        <f>L15</f>
        <v>0.33333333333333331</v>
      </c>
      <c r="M17" s="76">
        <v>0</v>
      </c>
      <c r="N17" s="76">
        <v>0</v>
      </c>
      <c r="O17" s="17">
        <v>0</v>
      </c>
      <c r="P17" s="22">
        <f t="shared" si="0"/>
        <v>0</v>
      </c>
      <c r="Q17" s="88">
        <f t="shared" si="1"/>
        <v>0</v>
      </c>
      <c r="R17" s="88">
        <f t="shared" si="2"/>
        <v>0</v>
      </c>
      <c r="S17" s="88">
        <f t="shared" ref="S17:T19" si="5">(Q17/SUM(Q17:Q39)*100)</f>
        <v>0</v>
      </c>
      <c r="T17" s="88">
        <f t="shared" si="5"/>
        <v>0</v>
      </c>
      <c r="U17" s="89">
        <f t="shared" si="3"/>
        <v>216.28299999999999</v>
      </c>
      <c r="X17" s="90"/>
      <c r="Y17"/>
    </row>
    <row r="18" spans="1:25" ht="117" customHeight="1">
      <c r="A18" s="91">
        <v>12</v>
      </c>
      <c r="B18" s="87" t="s">
        <v>24</v>
      </c>
      <c r="C18" s="1"/>
      <c r="D18" s="17">
        <v>24</v>
      </c>
      <c r="E18" s="17">
        <v>12</v>
      </c>
      <c r="F18" s="17">
        <v>7</v>
      </c>
      <c r="G18" s="76">
        <v>0</v>
      </c>
      <c r="H18" s="76">
        <v>0</v>
      </c>
      <c r="I18" s="76">
        <v>0</v>
      </c>
      <c r="J18" s="76">
        <v>0</v>
      </c>
      <c r="K18" s="76">
        <v>0</v>
      </c>
      <c r="L18" s="76">
        <f>6/7</f>
        <v>0.8571428571428571</v>
      </c>
      <c r="M18" s="76">
        <v>0</v>
      </c>
      <c r="N18" s="76">
        <f>1/7</f>
        <v>0.14285714285714285</v>
      </c>
      <c r="O18" s="17">
        <v>0</v>
      </c>
      <c r="P18" s="22">
        <f t="shared" si="0"/>
        <v>0</v>
      </c>
      <c r="Q18" s="88">
        <f t="shared" si="1"/>
        <v>0</v>
      </c>
      <c r="R18" s="88">
        <f t="shared" si="2"/>
        <v>0</v>
      </c>
      <c r="S18" s="88">
        <f t="shared" si="5"/>
        <v>0</v>
      </c>
      <c r="T18" s="88">
        <f t="shared" si="5"/>
        <v>0</v>
      </c>
      <c r="U18" s="89">
        <f t="shared" si="3"/>
        <v>300.36</v>
      </c>
      <c r="X18" s="90"/>
      <c r="Y18"/>
    </row>
    <row r="19" spans="1:25" ht="93" customHeight="1">
      <c r="A19" s="91">
        <v>13</v>
      </c>
      <c r="B19" s="87" t="s">
        <v>25</v>
      </c>
      <c r="D19" s="17">
        <v>20</v>
      </c>
      <c r="E19" s="17">
        <v>12</v>
      </c>
      <c r="F19" s="17">
        <v>5</v>
      </c>
      <c r="G19" s="76">
        <v>0</v>
      </c>
      <c r="H19" s="76">
        <f>4/5</f>
        <v>0.8</v>
      </c>
      <c r="I19" s="76">
        <v>0</v>
      </c>
      <c r="J19" s="76">
        <v>0</v>
      </c>
      <c r="K19" s="76">
        <v>0</v>
      </c>
      <c r="L19" s="76">
        <v>0</v>
      </c>
      <c r="M19" s="76">
        <v>0</v>
      </c>
      <c r="N19" s="76">
        <f>1/5</f>
        <v>0.2</v>
      </c>
      <c r="O19" s="17">
        <v>9</v>
      </c>
      <c r="P19" s="22">
        <f t="shared" si="0"/>
        <v>8.1081081081081088</v>
      </c>
      <c r="Q19" s="88">
        <f t="shared" si="1"/>
        <v>180</v>
      </c>
      <c r="R19" s="88">
        <f t="shared" si="2"/>
        <v>108</v>
      </c>
      <c r="S19" s="88">
        <f t="shared" si="5"/>
        <v>1.4952649941850806</v>
      </c>
      <c r="T19" s="88">
        <f t="shared" si="5"/>
        <v>2.6457618814306709</v>
      </c>
      <c r="U19" s="89">
        <f t="shared" si="3"/>
        <v>252.31599999999997</v>
      </c>
      <c r="X19" s="90"/>
      <c r="Y19"/>
    </row>
    <row r="20" spans="1:25" ht="95" customHeight="1">
      <c r="A20" s="78">
        <v>14</v>
      </c>
      <c r="B20" s="87" t="s">
        <v>29</v>
      </c>
      <c r="D20" s="17">
        <v>20</v>
      </c>
      <c r="E20" s="17">
        <v>12</v>
      </c>
      <c r="F20" s="17">
        <v>5</v>
      </c>
      <c r="G20" s="76">
        <f>1/5</f>
        <v>0.2</v>
      </c>
      <c r="H20" s="76">
        <f>1/5</f>
        <v>0.2</v>
      </c>
      <c r="I20" s="76">
        <v>0</v>
      </c>
      <c r="J20" s="76">
        <v>0</v>
      </c>
      <c r="K20" s="76">
        <v>0</v>
      </c>
      <c r="L20" s="76">
        <v>0.4</v>
      </c>
      <c r="M20" s="76">
        <v>0.2</v>
      </c>
      <c r="N20" s="76">
        <v>0</v>
      </c>
      <c r="O20" s="17">
        <v>0</v>
      </c>
      <c r="P20" s="22">
        <f t="shared" si="0"/>
        <v>0</v>
      </c>
      <c r="Q20" s="88">
        <f t="shared" si="1"/>
        <v>0</v>
      </c>
      <c r="R20" s="88">
        <f t="shared" si="2"/>
        <v>0</v>
      </c>
      <c r="S20" s="88">
        <f t="shared" ref="S20:T27" si="6">(Q20/SUM(Q20:Q43)*100)</f>
        <v>0</v>
      </c>
      <c r="T20" s="88">
        <f t="shared" si="6"/>
        <v>0</v>
      </c>
      <c r="U20" s="89">
        <f t="shared" si="3"/>
        <v>252.31599999999997</v>
      </c>
      <c r="X20" s="90"/>
      <c r="Y20"/>
    </row>
    <row r="21" spans="1:25" ht="102" customHeight="1">
      <c r="A21" s="91">
        <v>15</v>
      </c>
      <c r="B21" s="87" t="s">
        <v>30</v>
      </c>
      <c r="D21" s="17">
        <v>22</v>
      </c>
      <c r="E21" s="17">
        <v>12</v>
      </c>
      <c r="F21" s="17">
        <v>6</v>
      </c>
      <c r="G21" s="76">
        <v>0</v>
      </c>
      <c r="H21" s="76">
        <f>2/6</f>
        <v>0.33333333333333331</v>
      </c>
      <c r="I21" s="76">
        <v>0</v>
      </c>
      <c r="J21" s="76">
        <v>0</v>
      </c>
      <c r="K21" s="76">
        <v>0</v>
      </c>
      <c r="L21" s="76">
        <f>3/6</f>
        <v>0.5</v>
      </c>
      <c r="M21" s="76">
        <v>0</v>
      </c>
      <c r="N21" s="76">
        <f>1/6</f>
        <v>0.16666666666666666</v>
      </c>
      <c r="O21" s="17">
        <v>0</v>
      </c>
      <c r="P21" s="22">
        <f t="shared" si="0"/>
        <v>0</v>
      </c>
      <c r="Q21" s="88">
        <f t="shared" si="1"/>
        <v>0</v>
      </c>
      <c r="R21" s="88">
        <f t="shared" si="2"/>
        <v>0</v>
      </c>
      <c r="S21" s="88">
        <f t="shared" si="6"/>
        <v>0</v>
      </c>
      <c r="T21" s="88">
        <f t="shared" si="6"/>
        <v>0</v>
      </c>
      <c r="U21" s="89">
        <f t="shared" si="3"/>
        <v>276.33799999999997</v>
      </c>
      <c r="X21" s="90"/>
      <c r="Y21"/>
    </row>
    <row r="22" spans="1:25" ht="137" customHeight="1">
      <c r="A22" s="78">
        <v>16</v>
      </c>
      <c r="B22" s="87" t="s">
        <v>31</v>
      </c>
      <c r="C22" s="1"/>
      <c r="D22" s="17">
        <v>42</v>
      </c>
      <c r="E22" s="17">
        <v>16</v>
      </c>
      <c r="F22" s="17">
        <v>14</v>
      </c>
      <c r="G22" s="76">
        <v>0</v>
      </c>
      <c r="H22" s="76">
        <v>0</v>
      </c>
      <c r="I22" s="76">
        <v>0</v>
      </c>
      <c r="J22" s="76">
        <v>0</v>
      </c>
      <c r="K22" s="76">
        <v>0</v>
      </c>
      <c r="L22" s="76">
        <f>6/14</f>
        <v>0.42857142857142855</v>
      </c>
      <c r="M22" s="76">
        <f>4/14</f>
        <v>0.2857142857142857</v>
      </c>
      <c r="N22" s="76">
        <f>4/14</f>
        <v>0.2857142857142857</v>
      </c>
      <c r="O22" s="17">
        <v>17</v>
      </c>
      <c r="P22" s="22">
        <f t="shared" si="0"/>
        <v>15.315315315315313</v>
      </c>
      <c r="Q22" s="88">
        <f t="shared" si="1"/>
        <v>714</v>
      </c>
      <c r="R22" s="88">
        <f t="shared" si="2"/>
        <v>272</v>
      </c>
      <c r="S22" s="88">
        <f t="shared" si="6"/>
        <v>6.0212514757969302</v>
      </c>
      <c r="T22" s="88">
        <f t="shared" si="6"/>
        <v>6.8444891796678409</v>
      </c>
      <c r="U22" s="89">
        <f t="shared" si="3"/>
        <v>520.59</v>
      </c>
      <c r="X22" s="90"/>
      <c r="Y22"/>
    </row>
    <row r="23" spans="1:25" ht="167" customHeight="1">
      <c r="A23" s="78">
        <v>17</v>
      </c>
      <c r="B23" s="87" t="s">
        <v>32</v>
      </c>
      <c r="C23" s="1"/>
      <c r="D23" s="17">
        <v>54</v>
      </c>
      <c r="E23" s="17">
        <v>18</v>
      </c>
      <c r="F23" s="17">
        <v>19</v>
      </c>
      <c r="G23" s="76">
        <v>0</v>
      </c>
      <c r="H23" s="76">
        <v>0</v>
      </c>
      <c r="I23" s="76">
        <v>0</v>
      </c>
      <c r="J23" s="76">
        <v>0</v>
      </c>
      <c r="K23" s="76">
        <v>0</v>
      </c>
      <c r="L23" s="76">
        <f>6/19</f>
        <v>0.31578947368421051</v>
      </c>
      <c r="M23" s="76">
        <f>6/19</f>
        <v>0.31578947368421051</v>
      </c>
      <c r="N23" s="76">
        <f>7/19</f>
        <v>0.36842105263157893</v>
      </c>
      <c r="O23" s="17">
        <v>11</v>
      </c>
      <c r="P23" s="22">
        <f t="shared" si="0"/>
        <v>9.9099099099099099</v>
      </c>
      <c r="Q23" s="88">
        <f t="shared" si="1"/>
        <v>594</v>
      </c>
      <c r="R23" s="88">
        <f t="shared" si="2"/>
        <v>198</v>
      </c>
      <c r="S23" s="88">
        <f t="shared" si="6"/>
        <v>5.3302225412778172</v>
      </c>
      <c r="T23" s="88">
        <f t="shared" si="6"/>
        <v>5.3484602917341979</v>
      </c>
      <c r="U23" s="89">
        <f t="shared" si="3"/>
        <v>666.73799999999994</v>
      </c>
      <c r="X23" s="90"/>
      <c r="Y23"/>
    </row>
    <row r="24" spans="1:25" ht="151" customHeight="1">
      <c r="A24" s="78">
        <v>18</v>
      </c>
      <c r="B24" s="87" t="s">
        <v>33</v>
      </c>
      <c r="C24" s="1"/>
      <c r="D24" s="17">
        <v>66</v>
      </c>
      <c r="E24" s="17">
        <v>20</v>
      </c>
      <c r="F24" s="17">
        <v>24</v>
      </c>
      <c r="G24" s="76">
        <v>0</v>
      </c>
      <c r="H24" s="76">
        <v>0</v>
      </c>
      <c r="I24" s="76">
        <v>0</v>
      </c>
      <c r="J24" s="76">
        <v>0</v>
      </c>
      <c r="K24" s="76">
        <v>0</v>
      </c>
      <c r="L24" s="76">
        <f>6/24</f>
        <v>0.25</v>
      </c>
      <c r="M24" s="76">
        <f>8/24</f>
        <v>0.33333333333333331</v>
      </c>
      <c r="N24" s="76">
        <f>10/24</f>
        <v>0.41666666666666669</v>
      </c>
      <c r="O24" s="17">
        <v>0</v>
      </c>
      <c r="P24" s="22">
        <f t="shared" si="0"/>
        <v>0</v>
      </c>
      <c r="Q24" s="88">
        <f t="shared" si="1"/>
        <v>0</v>
      </c>
      <c r="R24" s="88">
        <f t="shared" si="2"/>
        <v>0</v>
      </c>
      <c r="S24" s="88">
        <f t="shared" si="6"/>
        <v>0</v>
      </c>
      <c r="T24" s="88">
        <f t="shared" si="6"/>
        <v>0</v>
      </c>
      <c r="U24" s="89">
        <f t="shared" si="3"/>
        <v>812.88599999999997</v>
      </c>
      <c r="X24" s="90"/>
      <c r="Y24"/>
    </row>
    <row r="25" spans="1:25" ht="151" customHeight="1">
      <c r="A25" s="78">
        <v>19</v>
      </c>
      <c r="B25" s="87" t="s">
        <v>35</v>
      </c>
      <c r="C25" s="1"/>
      <c r="D25" s="17">
        <v>70</v>
      </c>
      <c r="E25" s="17">
        <v>22</v>
      </c>
      <c r="F25" s="17">
        <v>25</v>
      </c>
      <c r="G25" s="76">
        <v>0</v>
      </c>
      <c r="H25" s="76">
        <f>2/25</f>
        <v>0.08</v>
      </c>
      <c r="I25" s="76">
        <v>0</v>
      </c>
      <c r="J25" s="76">
        <v>0</v>
      </c>
      <c r="K25" s="76">
        <v>0</v>
      </c>
      <c r="L25" s="76">
        <v>0.08</v>
      </c>
      <c r="M25" s="76">
        <f>12/25</f>
        <v>0.48</v>
      </c>
      <c r="N25" s="76">
        <f>9/25</f>
        <v>0.36</v>
      </c>
      <c r="O25" s="17">
        <v>63</v>
      </c>
      <c r="P25" s="22">
        <f t="shared" si="0"/>
        <v>56.756756756756758</v>
      </c>
      <c r="Q25" s="88">
        <f t="shared" si="1"/>
        <v>4410</v>
      </c>
      <c r="R25" s="88">
        <f t="shared" si="2"/>
        <v>1386</v>
      </c>
      <c r="S25" s="88">
        <f t="shared" si="6"/>
        <v>41.800947867298575</v>
      </c>
      <c r="T25" s="88">
        <f t="shared" si="6"/>
        <v>39.554794520547951</v>
      </c>
      <c r="U25" s="89">
        <f t="shared" si="3"/>
        <v>862.94600000000003</v>
      </c>
      <c r="X25" s="90"/>
      <c r="Y25"/>
    </row>
    <row r="26" spans="1:25" ht="151" customHeight="1">
      <c r="A26" s="78">
        <v>20</v>
      </c>
      <c r="B26" s="87" t="s">
        <v>34</v>
      </c>
      <c r="C26" s="1"/>
      <c r="D26" s="17">
        <v>80</v>
      </c>
      <c r="E26" s="17">
        <f>22</f>
        <v>22</v>
      </c>
      <c r="F26" s="17">
        <v>30</v>
      </c>
      <c r="G26" s="76">
        <v>0</v>
      </c>
      <c r="H26" s="76">
        <v>0</v>
      </c>
      <c r="I26" s="76">
        <v>0</v>
      </c>
      <c r="J26" s="76">
        <v>0</v>
      </c>
      <c r="K26" s="76">
        <v>0</v>
      </c>
      <c r="L26" s="76">
        <f>6/30</f>
        <v>0.2</v>
      </c>
      <c r="M26" s="76">
        <f>10/30</f>
        <v>0.33333333333333331</v>
      </c>
      <c r="N26" s="76">
        <f>14/30</f>
        <v>0.46666666666666667</v>
      </c>
      <c r="O26" s="17">
        <v>0</v>
      </c>
      <c r="P26" s="22">
        <f t="shared" si="0"/>
        <v>0</v>
      </c>
      <c r="Q26" s="88">
        <f t="shared" si="1"/>
        <v>0</v>
      </c>
      <c r="R26" s="88">
        <f t="shared" si="2"/>
        <v>0</v>
      </c>
      <c r="S26" s="88">
        <f t="shared" si="6"/>
        <v>0</v>
      </c>
      <c r="T26" s="88">
        <f t="shared" si="6"/>
        <v>0</v>
      </c>
      <c r="U26" s="89">
        <f t="shared" si="3"/>
        <v>983.05599999999993</v>
      </c>
      <c r="X26" s="90"/>
      <c r="Y26"/>
    </row>
    <row r="27" spans="1:25" ht="173" customHeight="1">
      <c r="A27" s="78">
        <v>21</v>
      </c>
      <c r="B27" s="94" t="s">
        <v>37</v>
      </c>
      <c r="C27" s="1"/>
      <c r="D27" s="17">
        <v>84</v>
      </c>
      <c r="E27" s="17">
        <v>24</v>
      </c>
      <c r="F27" s="17">
        <v>31</v>
      </c>
      <c r="G27" s="76">
        <v>0</v>
      </c>
      <c r="H27" s="76">
        <v>0</v>
      </c>
      <c r="I27" s="76">
        <v>0</v>
      </c>
      <c r="J27" s="76">
        <v>0</v>
      </c>
      <c r="K27" s="76">
        <v>0</v>
      </c>
      <c r="L27" s="76">
        <f>(31-18)/31</f>
        <v>0.41935483870967744</v>
      </c>
      <c r="M27" s="76">
        <v>0</v>
      </c>
      <c r="N27" s="76">
        <f>18/31</f>
        <v>0.58064516129032262</v>
      </c>
      <c r="O27" s="17">
        <v>0</v>
      </c>
      <c r="P27" s="22">
        <f t="shared" si="0"/>
        <v>0</v>
      </c>
      <c r="Q27" s="88">
        <f t="shared" si="1"/>
        <v>0</v>
      </c>
      <c r="R27" s="88">
        <f t="shared" si="2"/>
        <v>0</v>
      </c>
      <c r="S27" s="88">
        <f t="shared" si="6"/>
        <v>0</v>
      </c>
      <c r="T27" s="88">
        <f t="shared" si="6"/>
        <v>0</v>
      </c>
      <c r="U27" s="89">
        <f t="shared" si="3"/>
        <v>1033.116</v>
      </c>
      <c r="X27" s="90"/>
      <c r="Y27"/>
    </row>
    <row r="28" spans="1:25">
      <c r="B28"/>
      <c r="C28" s="49"/>
      <c r="D28" s="1"/>
      <c r="G28" s="76">
        <f t="shared" ref="G28:N28" si="7">G6*$O$6+G11*$O$11+G12*$O$12+G7*$O$7+G8*$O$8+G9*$O9+G10*$O$10+G13*$O$13+G14*$O$14+G15*$O$15+G16*$O$16+G17*$O$17+G18*$O$18+G19*$O$19+G20*$O$20+G21*$O$21+G22*$O$22+G23*$O$23+G24*$O$24+G25*$O$25+G26*$O$26+G27*$O$27</f>
        <v>4.4000000000000004</v>
      </c>
      <c r="H28" s="76">
        <f t="shared" si="7"/>
        <v>12.24</v>
      </c>
      <c r="I28" s="76">
        <f t="shared" si="7"/>
        <v>0</v>
      </c>
      <c r="J28" s="76">
        <f t="shared" si="7"/>
        <v>0</v>
      </c>
      <c r="K28" s="76">
        <f t="shared" si="7"/>
        <v>6.6</v>
      </c>
      <c r="L28" s="76">
        <f t="shared" si="7"/>
        <v>15.799398496240602</v>
      </c>
      <c r="M28" s="76">
        <f t="shared" si="7"/>
        <v>38.570827067669171</v>
      </c>
      <c r="N28" s="76">
        <f t="shared" si="7"/>
        <v>33.389774436090221</v>
      </c>
      <c r="O28" s="88">
        <f>SUM(O6:O27)</f>
        <v>111</v>
      </c>
      <c r="P28" s="22">
        <f>SUM(P6:P27)</f>
        <v>100</v>
      </c>
      <c r="Q28" s="88">
        <f>SUM(Q6:Q27)</f>
        <v>6140</v>
      </c>
      <c r="R28" s="88">
        <f>SUM(R6:R27)</f>
        <v>2118</v>
      </c>
      <c r="X28"/>
      <c r="Y28"/>
    </row>
    <row r="29" spans="1:25">
      <c r="C29" s="49"/>
      <c r="D29" s="1"/>
      <c r="F29" s="95" t="s">
        <v>41</v>
      </c>
      <c r="G29" s="159">
        <f>SUM(G28:N28)</f>
        <v>111</v>
      </c>
      <c r="H29" s="159"/>
      <c r="I29" s="159"/>
      <c r="J29" s="159"/>
      <c r="K29" s="159"/>
      <c r="L29" s="159"/>
      <c r="M29" s="159"/>
      <c r="N29" s="159"/>
      <c r="O29" s="76"/>
    </row>
    <row r="30" spans="1:25">
      <c r="C30" s="49"/>
      <c r="D30" s="1"/>
      <c r="F30" s="95"/>
      <c r="G30" s="84" t="s">
        <v>65</v>
      </c>
      <c r="H30" s="84" t="s">
        <v>50</v>
      </c>
      <c r="I30" s="84" t="s">
        <v>52</v>
      </c>
      <c r="J30" s="84" t="s">
        <v>83</v>
      </c>
      <c r="K30" s="84" t="s">
        <v>51</v>
      </c>
      <c r="L30" s="84" t="s">
        <v>88</v>
      </c>
      <c r="M30" s="84" t="s">
        <v>3</v>
      </c>
      <c r="N30" s="84" t="s">
        <v>4</v>
      </c>
      <c r="O30" s="76"/>
    </row>
    <row r="31" spans="1:25">
      <c r="C31" s="49"/>
      <c r="D31" s="1"/>
      <c r="F31" s="49" t="s">
        <v>141</v>
      </c>
      <c r="G31" s="96">
        <f>G28/$G$29</f>
        <v>3.9639639639639644E-2</v>
      </c>
      <c r="H31" s="96">
        <f>H28/$G$29</f>
        <v>0.11027027027027027</v>
      </c>
      <c r="I31" s="96">
        <f t="shared" ref="I31:K31" si="8">I28/$G$29</f>
        <v>0</v>
      </c>
      <c r="J31" s="96">
        <f t="shared" si="8"/>
        <v>0</v>
      </c>
      <c r="K31" s="96">
        <f t="shared" si="8"/>
        <v>5.9459459459459456E-2</v>
      </c>
      <c r="L31" s="96">
        <f>L28/$G$29</f>
        <v>0.14233692338955498</v>
      </c>
      <c r="M31" s="96">
        <f>M28/$G$29</f>
        <v>0.34748492853756008</v>
      </c>
      <c r="N31" s="96">
        <f>N28/$G$29</f>
        <v>0.30080877870351552</v>
      </c>
      <c r="O31" s="76"/>
      <c r="P31" s="70"/>
      <c r="Q31" s="1"/>
      <c r="R31" s="1"/>
      <c r="S31" s="1"/>
      <c r="T31" s="1"/>
      <c r="U31" s="97"/>
    </row>
    <row r="32" spans="1:25">
      <c r="C32" s="49"/>
      <c r="D32" s="1"/>
      <c r="E32" s="1"/>
      <c r="F32" s="98" t="s">
        <v>36</v>
      </c>
      <c r="G32" s="96">
        <f>BPCA_Experimental!F3</f>
        <v>3.6387734810022998E-2</v>
      </c>
      <c r="H32" s="99">
        <f>BPCA_Experimental!F4+BPCA_Experimental!F5</f>
        <v>0.11050796506756461</v>
      </c>
      <c r="I32" s="99"/>
      <c r="J32" s="99"/>
      <c r="K32" s="99">
        <f>BPCA_Experimental!F6</f>
        <v>5.7585518231114477E-2</v>
      </c>
      <c r="L32" s="99">
        <f>BPCA_Experimental!F7</f>
        <v>0.14211236193881485</v>
      </c>
      <c r="M32" s="99">
        <f>BPCA_Experimental!F8</f>
        <v>0.35258252683498492</v>
      </c>
      <c r="N32" s="99">
        <f>BPCA_Experimental!F9</f>
        <v>0.30082389311749813</v>
      </c>
      <c r="O32" s="76"/>
      <c r="Q32" s="1"/>
      <c r="R32" s="1"/>
      <c r="S32" s="1"/>
      <c r="T32" s="1"/>
      <c r="U32" s="97"/>
    </row>
    <row r="33" spans="1:21">
      <c r="C33" s="49"/>
      <c r="D33" s="1"/>
      <c r="E33" s="1"/>
      <c r="F33" s="98" t="s">
        <v>142</v>
      </c>
      <c r="G33" s="96">
        <f>BPCA_Experimental!F14</f>
        <v>7.3890280749442793E-4</v>
      </c>
      <c r="H33" s="99">
        <f>BPCA_Experimental!F15+BPCA_Experimental!F16</f>
        <v>6.0494836438689413E-3</v>
      </c>
      <c r="I33" s="99"/>
      <c r="J33" s="99"/>
      <c r="K33" s="99">
        <f>BPCA_Experimental!F17</f>
        <v>4.44949241933013E-4</v>
      </c>
      <c r="L33" s="99">
        <f>BPCA_Experimental!F18</f>
        <v>4.3619769626533174E-3</v>
      </c>
      <c r="M33" s="99">
        <f>BPCA_Experimental!F19</f>
        <v>5.1746708639145347E-3</v>
      </c>
      <c r="N33" s="99">
        <f>BPCA_Experimental!F20</f>
        <v>5.5307433081690401E-3</v>
      </c>
      <c r="O33" s="76"/>
      <c r="T33" s="1"/>
      <c r="U33" s="97"/>
    </row>
    <row r="34" spans="1:21">
      <c r="E34" s="88"/>
      <c r="F34" s="100" t="s">
        <v>42</v>
      </c>
      <c r="G34" s="76">
        <f>ABS(G31-G32)/G32</f>
        <v>8.9368157886016833E-2</v>
      </c>
      <c r="H34" s="76">
        <f>ABS(H31-H32)/H32</f>
        <v>2.1509290950114919E-3</v>
      </c>
      <c r="K34" s="76">
        <f>ABS(K31-K32)/K32</f>
        <v>3.25418835482921E-2</v>
      </c>
      <c r="L34" s="76">
        <f>ABS(L31-L32)/L32</f>
        <v>1.5801683096140977E-3</v>
      </c>
      <c r="M34" s="76">
        <f>ABS(M31-M32)/M32</f>
        <v>1.4457886904334919E-2</v>
      </c>
      <c r="N34" s="76">
        <f>ABS(N31-N32)/N32</f>
        <v>5.0243395981532639E-5</v>
      </c>
      <c r="O34" s="76"/>
    </row>
    <row r="35" spans="1:21">
      <c r="E35" s="101"/>
      <c r="F35" s="98"/>
      <c r="O35" s="76"/>
    </row>
    <row r="36" spans="1:21">
      <c r="D36" s="1"/>
      <c r="E36" s="77"/>
      <c r="O36" s="76"/>
    </row>
    <row r="37" spans="1:21" ht="16" customHeight="1">
      <c r="D37" s="1"/>
      <c r="E37" s="77"/>
      <c r="F37" s="103" t="s">
        <v>127</v>
      </c>
      <c r="G37" s="76">
        <f>BPCA_Experimental!F23</f>
        <v>0.51179732492351981</v>
      </c>
      <c r="H37" s="156" t="s">
        <v>132</v>
      </c>
      <c r="I37" s="156"/>
      <c r="J37" s="156"/>
      <c r="K37" s="156"/>
      <c r="L37" s="156"/>
      <c r="M37" s="156"/>
      <c r="N37" s="156"/>
      <c r="O37" s="76"/>
    </row>
    <row r="38" spans="1:21" ht="16" customHeight="1">
      <c r="D38" s="1"/>
      <c r="E38" s="102"/>
      <c r="F38" s="103" t="s">
        <v>133</v>
      </c>
      <c r="G38" s="76">
        <f>G37*G43</f>
        <v>0.34461019878183669</v>
      </c>
      <c r="H38" s="156"/>
      <c r="I38" s="156"/>
      <c r="J38" s="156"/>
      <c r="K38" s="156"/>
      <c r="L38" s="156"/>
      <c r="M38" s="156"/>
      <c r="N38" s="156"/>
      <c r="O38" s="76"/>
    </row>
    <row r="39" spans="1:21" ht="13" customHeight="1">
      <c r="D39" s="104"/>
      <c r="F39" s="103" t="s">
        <v>130</v>
      </c>
      <c r="G39" s="76">
        <f>R28/Q28</f>
        <v>0.3449511400651466</v>
      </c>
      <c r="H39" s="156"/>
      <c r="I39" s="156"/>
      <c r="J39" s="156"/>
      <c r="K39" s="156"/>
      <c r="L39" s="156"/>
      <c r="M39" s="156"/>
      <c r="N39" s="156"/>
      <c r="O39" s="76"/>
      <c r="Q39" s="96"/>
    </row>
    <row r="40" spans="1:21">
      <c r="D40" s="104"/>
      <c r="F40" s="103" t="s">
        <v>42</v>
      </c>
      <c r="G40" s="76">
        <f>G38-G39</f>
        <v>-3.4094128330991458E-4</v>
      </c>
      <c r="H40" s="156"/>
      <c r="I40" s="156"/>
      <c r="J40" s="156"/>
      <c r="K40" s="156"/>
      <c r="L40" s="156"/>
      <c r="M40" s="156"/>
      <c r="N40" s="156"/>
      <c r="O40" s="76"/>
    </row>
    <row r="41" spans="1:21">
      <c r="D41" s="104"/>
      <c r="F41" s="1"/>
      <c r="G41" s="1"/>
      <c r="O41" s="76"/>
    </row>
    <row r="42" spans="1:21">
      <c r="D42" s="104"/>
      <c r="F42" s="105" t="s">
        <v>131</v>
      </c>
      <c r="G42" s="106">
        <v>10000</v>
      </c>
      <c r="O42" s="76"/>
      <c r="T42" s="76"/>
    </row>
    <row r="43" spans="1:21" ht="16" customHeight="1">
      <c r="D43" s="7"/>
      <c r="F43" s="98" t="s">
        <v>43</v>
      </c>
      <c r="G43" s="96">
        <f>BPCA_Experimental!F22</f>
        <v>0.67333333333333334</v>
      </c>
      <c r="H43" s="156" t="s">
        <v>129</v>
      </c>
      <c r="I43" s="156"/>
      <c r="J43" s="156"/>
      <c r="K43" s="156"/>
      <c r="L43" s="156"/>
      <c r="M43" s="156"/>
      <c r="N43" s="156"/>
      <c r="O43" s="76"/>
      <c r="Q43" s="96"/>
    </row>
    <row r="44" spans="1:21">
      <c r="E44" s="77"/>
      <c r="F44" s="98" t="s">
        <v>128</v>
      </c>
      <c r="G44" s="96">
        <f>Q28/(G42-R28)</f>
        <v>0.77899010403450897</v>
      </c>
      <c r="H44" s="156"/>
      <c r="I44" s="156"/>
      <c r="J44" s="156"/>
      <c r="K44" s="156"/>
      <c r="L44" s="156"/>
      <c r="M44" s="156"/>
      <c r="N44" s="156"/>
      <c r="O44" s="76"/>
      <c r="Q44" s="96"/>
    </row>
    <row r="45" spans="1:21">
      <c r="H45" s="50"/>
      <c r="I45" s="50"/>
      <c r="J45" s="50"/>
      <c r="K45" s="50"/>
      <c r="L45" s="50"/>
      <c r="M45" s="50"/>
      <c r="N45" s="50"/>
      <c r="O45" s="76"/>
      <c r="Q45" s="96"/>
    </row>
    <row r="46" spans="1:21">
      <c r="E46" s="1"/>
      <c r="G46" s="107"/>
      <c r="H46" s="107"/>
      <c r="I46" s="107"/>
      <c r="J46" s="107"/>
      <c r="K46" s="107"/>
      <c r="L46" s="107"/>
      <c r="M46" s="107"/>
      <c r="N46" s="107"/>
      <c r="O46" s="76"/>
      <c r="P46" s="108"/>
    </row>
    <row r="47" spans="1:21">
      <c r="A47" s="109"/>
      <c r="B47" s="109"/>
      <c r="C47" s="109"/>
      <c r="D47" s="109"/>
      <c r="E47" s="109"/>
      <c r="F47" s="109"/>
      <c r="O47" s="76"/>
      <c r="P47" s="110"/>
      <c r="Q47" s="109"/>
      <c r="R47" s="109"/>
      <c r="S47" s="109"/>
      <c r="T47" s="109"/>
      <c r="U47" s="111"/>
    </row>
    <row r="48" spans="1:21">
      <c r="A48" s="112"/>
      <c r="B48" s="7"/>
      <c r="C48" s="113"/>
      <c r="D48" s="7"/>
      <c r="E48" s="7"/>
      <c r="F48" s="7"/>
      <c r="H48" s="99"/>
      <c r="I48" s="99"/>
      <c r="J48" s="99"/>
      <c r="K48" s="99"/>
      <c r="L48" s="99"/>
      <c r="M48" s="99"/>
      <c r="N48" s="99"/>
      <c r="O48" s="76"/>
      <c r="Q48" s="114"/>
      <c r="R48" s="114"/>
      <c r="S48" s="114"/>
      <c r="T48" s="114"/>
      <c r="U48" s="86"/>
    </row>
    <row r="49" spans="1:30">
      <c r="O49" s="76"/>
      <c r="P49" s="96"/>
      <c r="S49" s="17"/>
      <c r="T49" s="17"/>
      <c r="U49" s="17"/>
      <c r="V49" s="17"/>
      <c r="W49" s="17"/>
    </row>
    <row r="50" spans="1:30">
      <c r="O50" s="76"/>
      <c r="P50" s="96"/>
      <c r="Q50" s="115"/>
    </row>
    <row r="51" spans="1:30" s="22" customFormat="1">
      <c r="A51" s="78"/>
      <c r="B51" s="17"/>
      <c r="C51" s="93"/>
      <c r="D51" s="17"/>
      <c r="E51" s="17"/>
      <c r="F51" s="17"/>
      <c r="G51" s="76"/>
      <c r="H51" s="76"/>
      <c r="I51" s="76"/>
      <c r="J51" s="76"/>
      <c r="K51" s="76"/>
      <c r="L51" s="76"/>
      <c r="M51" s="76"/>
      <c r="N51" s="76"/>
      <c r="O51" s="76"/>
      <c r="Q51" s="17"/>
      <c r="R51" s="17"/>
      <c r="S51" s="88"/>
      <c r="T51" s="88"/>
      <c r="U51" s="89"/>
      <c r="V51" s="1"/>
      <c r="W51" s="1"/>
      <c r="X51" s="1"/>
      <c r="Y51" s="1"/>
      <c r="Z51" s="1"/>
      <c r="AA51" s="1"/>
      <c r="AB51" s="1"/>
      <c r="AC51" s="1"/>
      <c r="AD51" s="1"/>
    </row>
    <row r="52" spans="1:30" s="22" customFormat="1">
      <c r="A52" s="78"/>
      <c r="B52" s="17"/>
      <c r="C52" s="93"/>
      <c r="D52" s="17"/>
      <c r="E52" s="17"/>
      <c r="F52" s="17"/>
      <c r="G52" s="76"/>
      <c r="H52" s="76"/>
      <c r="I52" s="76"/>
      <c r="J52" s="76"/>
      <c r="K52" s="76"/>
      <c r="L52" s="76"/>
      <c r="M52" s="76"/>
      <c r="N52" s="76"/>
      <c r="O52" s="76"/>
      <c r="Q52" s="17"/>
      <c r="R52" s="17"/>
      <c r="S52" s="88"/>
      <c r="T52" s="88"/>
      <c r="U52" s="89"/>
      <c r="V52" s="1"/>
      <c r="W52" s="1"/>
      <c r="X52" s="1"/>
      <c r="Y52" s="1"/>
      <c r="Z52" s="1"/>
      <c r="AA52" s="1"/>
      <c r="AB52" s="1"/>
      <c r="AC52" s="1"/>
      <c r="AD52" s="1"/>
    </row>
    <row r="53" spans="1:30" s="22" customFormat="1">
      <c r="A53" s="78"/>
      <c r="B53" s="17"/>
      <c r="C53" s="93"/>
      <c r="D53" s="17"/>
      <c r="E53" s="17"/>
      <c r="F53" s="17"/>
      <c r="G53" s="76"/>
      <c r="H53" s="76"/>
      <c r="I53" s="76"/>
      <c r="J53" s="76"/>
      <c r="K53" s="76"/>
      <c r="L53" s="76"/>
      <c r="M53" s="76"/>
      <c r="N53" s="76"/>
      <c r="O53" s="76"/>
      <c r="Q53" s="17"/>
      <c r="R53" s="17"/>
      <c r="S53" s="88"/>
      <c r="T53" s="88"/>
      <c r="U53" s="89"/>
      <c r="V53" s="1"/>
      <c r="W53" s="1"/>
      <c r="X53" s="1"/>
      <c r="Y53" s="1"/>
      <c r="Z53" s="1"/>
      <c r="AA53" s="1"/>
      <c r="AB53" s="1"/>
      <c r="AC53" s="1"/>
      <c r="AD53" s="1"/>
    </row>
    <row r="54" spans="1:30" s="22" customFormat="1">
      <c r="A54" s="78"/>
      <c r="B54" s="17"/>
      <c r="C54" s="93"/>
      <c r="D54" s="17"/>
      <c r="E54" s="17"/>
      <c r="F54" s="17"/>
      <c r="G54" s="76"/>
      <c r="H54" s="50"/>
      <c r="I54" s="50"/>
      <c r="J54" s="50"/>
      <c r="K54" s="50"/>
      <c r="L54" s="50"/>
      <c r="M54" s="50"/>
      <c r="N54" s="50"/>
      <c r="O54" s="76"/>
      <c r="Q54" s="17"/>
      <c r="R54" s="17"/>
      <c r="S54" s="88"/>
      <c r="T54" s="88"/>
      <c r="U54" s="89"/>
      <c r="V54" s="1"/>
      <c r="W54" s="1"/>
      <c r="X54" s="1"/>
      <c r="Y54" s="1"/>
      <c r="Z54" s="1"/>
      <c r="AA54" s="1"/>
      <c r="AB54" s="1"/>
      <c r="AC54" s="1"/>
      <c r="AD54" s="1"/>
    </row>
    <row r="55" spans="1:30" s="22" customFormat="1">
      <c r="A55" s="78"/>
      <c r="B55" s="17"/>
      <c r="C55" s="93"/>
      <c r="D55" s="17"/>
      <c r="E55" s="17"/>
      <c r="F55" s="17"/>
      <c r="G55" s="76"/>
      <c r="H55" s="76"/>
      <c r="I55" s="76"/>
      <c r="J55" s="76"/>
      <c r="K55" s="76"/>
      <c r="L55" s="76"/>
      <c r="M55" s="76"/>
      <c r="N55" s="76"/>
      <c r="O55" s="76"/>
      <c r="Q55" s="17"/>
      <c r="R55" s="17"/>
      <c r="S55" s="88"/>
      <c r="T55" s="88"/>
      <c r="U55" s="89"/>
      <c r="V55" s="1"/>
      <c r="W55" s="1"/>
      <c r="X55" s="1"/>
      <c r="Y55" s="1"/>
      <c r="Z55" s="1"/>
      <c r="AA55" s="1"/>
      <c r="AB55" s="1"/>
      <c r="AC55" s="1"/>
      <c r="AD55" s="1"/>
    </row>
    <row r="57" spans="1:30" s="22" customFormat="1">
      <c r="A57" s="78"/>
      <c r="B57" s="17"/>
      <c r="C57" s="93"/>
      <c r="D57" s="17"/>
      <c r="E57" s="17"/>
      <c r="F57" s="17"/>
      <c r="G57" s="76"/>
      <c r="H57" s="76"/>
      <c r="I57" s="76"/>
      <c r="J57" s="76"/>
      <c r="K57" s="76"/>
      <c r="L57" s="76"/>
      <c r="M57" s="76"/>
      <c r="N57" s="76"/>
      <c r="O57" s="76"/>
      <c r="Q57" s="17"/>
      <c r="R57" s="17"/>
      <c r="S57" s="88"/>
      <c r="T57" s="88"/>
      <c r="U57" s="89"/>
      <c r="V57" s="1"/>
      <c r="W57" s="1"/>
      <c r="X57" s="1"/>
      <c r="Y57" s="1"/>
      <c r="Z57" s="1"/>
      <c r="AA57" s="1"/>
      <c r="AB57" s="1"/>
      <c r="AC57" s="1"/>
      <c r="AD57" s="1"/>
    </row>
    <row r="58" spans="1:30" s="22" customFormat="1">
      <c r="A58" s="78"/>
      <c r="B58" s="17"/>
      <c r="C58" s="93"/>
      <c r="D58" s="17"/>
      <c r="E58" s="17"/>
      <c r="F58" s="17"/>
      <c r="G58" s="76"/>
      <c r="H58" s="76"/>
      <c r="I58" s="76"/>
      <c r="J58" s="76"/>
      <c r="K58" s="76"/>
      <c r="L58" s="76"/>
      <c r="M58" s="76"/>
      <c r="N58" s="76"/>
      <c r="O58" s="76"/>
      <c r="Q58" s="17"/>
      <c r="R58" s="17"/>
      <c r="S58" s="88"/>
      <c r="T58" s="88"/>
      <c r="U58" s="89"/>
      <c r="V58" s="1"/>
      <c r="W58" s="1"/>
      <c r="X58" s="1"/>
      <c r="Y58" s="1"/>
      <c r="Z58" s="1"/>
      <c r="AA58" s="1"/>
      <c r="AB58" s="1"/>
      <c r="AC58" s="1"/>
      <c r="AD58" s="1"/>
    </row>
    <row r="59" spans="1:30" s="22" customFormat="1">
      <c r="A59" s="78"/>
      <c r="B59" s="17"/>
      <c r="C59" s="93"/>
      <c r="D59" s="17"/>
      <c r="E59" s="17"/>
      <c r="F59" s="17"/>
      <c r="G59" s="76"/>
      <c r="H59" s="76"/>
      <c r="I59" s="76"/>
      <c r="J59" s="76"/>
      <c r="K59" s="76"/>
      <c r="L59" s="76"/>
      <c r="M59" s="76"/>
      <c r="N59" s="76"/>
      <c r="O59" s="76"/>
      <c r="Q59" s="17"/>
      <c r="R59" s="17"/>
      <c r="S59" s="88"/>
      <c r="T59" s="88"/>
      <c r="U59" s="89"/>
      <c r="V59" s="1"/>
      <c r="W59" s="1"/>
      <c r="X59" s="1"/>
      <c r="Y59" s="1"/>
      <c r="Z59" s="1"/>
      <c r="AA59" s="1"/>
      <c r="AB59" s="1"/>
      <c r="AC59" s="1"/>
      <c r="AD59" s="1"/>
    </row>
    <row r="60" spans="1:30" s="22" customFormat="1">
      <c r="A60" s="78"/>
      <c r="B60" s="17"/>
      <c r="C60" s="93"/>
      <c r="D60" s="17"/>
      <c r="E60" s="17"/>
      <c r="F60" s="17"/>
      <c r="G60" s="76"/>
      <c r="H60" s="76"/>
      <c r="I60" s="76"/>
      <c r="J60" s="76"/>
      <c r="K60" s="76"/>
      <c r="L60" s="76"/>
      <c r="M60" s="76"/>
      <c r="N60" s="76"/>
      <c r="O60" s="76"/>
      <c r="Q60" s="17"/>
      <c r="R60" s="17"/>
      <c r="S60" s="88"/>
      <c r="T60" s="88"/>
      <c r="U60" s="89"/>
      <c r="V60" s="1"/>
      <c r="W60" s="1"/>
      <c r="X60" s="1"/>
      <c r="Y60" s="1"/>
      <c r="Z60" s="1"/>
      <c r="AA60" s="1"/>
      <c r="AB60" s="1"/>
      <c r="AC60" s="1"/>
      <c r="AD60" s="1"/>
    </row>
    <row r="61" spans="1:30" s="22" customFormat="1">
      <c r="A61" s="78"/>
      <c r="B61" s="17"/>
      <c r="C61" s="93"/>
      <c r="D61" s="17"/>
      <c r="E61" s="17"/>
      <c r="F61" s="17"/>
      <c r="G61" s="76"/>
      <c r="H61" s="76"/>
      <c r="I61" s="76"/>
      <c r="J61" s="76"/>
      <c r="K61" s="76"/>
      <c r="L61" s="76"/>
      <c r="M61" s="76"/>
      <c r="N61" s="76"/>
      <c r="O61" s="76"/>
      <c r="Q61" s="17"/>
      <c r="R61" s="17"/>
      <c r="S61" s="88"/>
      <c r="T61" s="88"/>
      <c r="U61" s="89"/>
      <c r="V61" s="1"/>
      <c r="W61" s="1"/>
      <c r="X61" s="1"/>
      <c r="Y61" s="1"/>
      <c r="Z61" s="1"/>
      <c r="AA61" s="1"/>
      <c r="AB61" s="1"/>
      <c r="AC61" s="1"/>
      <c r="AD61" s="1"/>
    </row>
    <row r="62" spans="1:30" s="22" customFormat="1">
      <c r="A62" s="78"/>
      <c r="B62" s="17"/>
      <c r="C62" s="93"/>
      <c r="D62" s="17"/>
      <c r="E62" s="17"/>
      <c r="F62" s="17"/>
      <c r="G62" s="76"/>
      <c r="H62" s="76"/>
      <c r="I62" s="76"/>
      <c r="J62" s="76"/>
      <c r="K62" s="76"/>
      <c r="L62" s="76"/>
      <c r="M62" s="76"/>
      <c r="N62" s="76"/>
      <c r="O62" s="76"/>
      <c r="Q62" s="17"/>
      <c r="R62" s="17"/>
      <c r="S62" s="88"/>
      <c r="T62" s="88"/>
      <c r="U62" s="89"/>
      <c r="V62" s="1"/>
      <c r="W62" s="1"/>
      <c r="X62" s="1"/>
      <c r="Y62" s="1"/>
      <c r="Z62" s="1"/>
      <c r="AA62" s="1"/>
      <c r="AB62" s="1"/>
      <c r="AC62" s="1"/>
      <c r="AD62" s="1"/>
    </row>
    <row r="63" spans="1:30" s="22" customFormat="1">
      <c r="A63" s="78"/>
      <c r="B63" s="17"/>
      <c r="C63" s="93"/>
      <c r="D63" s="88"/>
      <c r="E63" s="88"/>
      <c r="F63" s="17"/>
      <c r="G63" s="76"/>
      <c r="H63" s="76"/>
      <c r="I63" s="76"/>
      <c r="J63" s="76"/>
      <c r="K63" s="76"/>
      <c r="L63" s="76"/>
      <c r="M63" s="76"/>
      <c r="N63" s="76"/>
      <c r="O63" s="76"/>
      <c r="Q63" s="17"/>
      <c r="R63" s="17"/>
      <c r="S63" s="88"/>
      <c r="T63" s="88"/>
      <c r="U63" s="89"/>
      <c r="V63" s="1"/>
      <c r="W63" s="1"/>
      <c r="X63" s="1"/>
      <c r="Y63" s="1"/>
      <c r="Z63" s="1"/>
      <c r="AA63" s="1"/>
      <c r="AB63" s="1"/>
      <c r="AC63" s="1"/>
      <c r="AD63" s="1"/>
    </row>
    <row r="64" spans="1:30" s="22" customFormat="1">
      <c r="A64" s="78"/>
      <c r="B64" s="17"/>
      <c r="C64" s="93"/>
      <c r="D64" s="88"/>
      <c r="E64" s="88"/>
      <c r="F64" s="17"/>
      <c r="G64" s="76"/>
      <c r="H64" s="76"/>
      <c r="I64" s="76"/>
      <c r="J64" s="76"/>
      <c r="K64" s="76"/>
      <c r="L64" s="76"/>
      <c r="M64" s="76"/>
      <c r="N64" s="76"/>
      <c r="O64" s="76"/>
      <c r="Q64" s="17"/>
      <c r="R64" s="17"/>
      <c r="S64" s="88"/>
      <c r="T64" s="88"/>
      <c r="U64" s="89"/>
      <c r="V64" s="1"/>
      <c r="W64" s="1"/>
      <c r="X64" s="1"/>
      <c r="Y64" s="1"/>
      <c r="Z64" s="1"/>
      <c r="AA64" s="1"/>
      <c r="AB64" s="1"/>
      <c r="AC64" s="1"/>
      <c r="AD64" s="1"/>
    </row>
    <row r="65" spans="1:30" s="22" customFormat="1">
      <c r="A65" s="78"/>
      <c r="B65" s="17"/>
      <c r="C65" s="93"/>
      <c r="D65" s="17"/>
      <c r="E65" s="17"/>
      <c r="F65" s="17"/>
      <c r="G65" s="76"/>
      <c r="H65" s="76"/>
      <c r="I65" s="76"/>
      <c r="J65" s="76"/>
      <c r="K65" s="76"/>
      <c r="L65" s="76"/>
      <c r="M65" s="76"/>
      <c r="N65" s="76"/>
      <c r="O65" s="76"/>
      <c r="Q65" s="17"/>
      <c r="R65" s="17"/>
      <c r="S65" s="88"/>
      <c r="T65" s="88"/>
      <c r="U65" s="89"/>
      <c r="V65" s="1"/>
      <c r="W65" s="1"/>
      <c r="X65" s="1"/>
      <c r="Y65" s="1"/>
      <c r="Z65" s="1"/>
      <c r="AA65" s="1"/>
      <c r="AB65" s="1"/>
      <c r="AC65" s="1"/>
      <c r="AD65" s="1"/>
    </row>
    <row r="66" spans="1:30" s="22" customFormat="1">
      <c r="A66" s="78"/>
      <c r="B66" s="17"/>
      <c r="C66" s="93"/>
      <c r="D66" s="17"/>
      <c r="E66" s="17"/>
      <c r="F66" s="17"/>
      <c r="G66" s="76"/>
      <c r="H66" s="76"/>
      <c r="I66" s="76"/>
      <c r="J66" s="76"/>
      <c r="K66" s="76"/>
      <c r="L66" s="76"/>
      <c r="M66" s="76"/>
      <c r="N66" s="76"/>
      <c r="O66" s="76"/>
      <c r="Q66" s="17"/>
      <c r="R66" s="17"/>
      <c r="S66" s="88"/>
      <c r="T66" s="88"/>
      <c r="U66" s="89"/>
      <c r="V66" s="1"/>
      <c r="W66" s="1"/>
      <c r="X66" s="1"/>
      <c r="Y66" s="1"/>
      <c r="Z66" s="1"/>
      <c r="AA66" s="1"/>
      <c r="AB66" s="1"/>
      <c r="AC66" s="1"/>
      <c r="AD66" s="1"/>
    </row>
    <row r="67" spans="1:30" s="22" customFormat="1">
      <c r="A67" s="78"/>
      <c r="B67" s="17"/>
      <c r="C67" s="93"/>
      <c r="D67" s="14"/>
      <c r="E67" s="116"/>
      <c r="F67" s="17"/>
      <c r="G67" s="76"/>
      <c r="H67" s="76"/>
      <c r="I67" s="76"/>
      <c r="J67" s="76"/>
      <c r="K67" s="76"/>
      <c r="L67" s="76"/>
      <c r="M67" s="76"/>
      <c r="N67" s="76"/>
      <c r="O67" s="76"/>
      <c r="Q67" s="17"/>
      <c r="R67" s="17"/>
      <c r="S67" s="88"/>
      <c r="T67" s="88"/>
      <c r="U67" s="89"/>
      <c r="V67" s="1"/>
      <c r="W67" s="1"/>
      <c r="X67" s="1"/>
      <c r="Y67" s="1"/>
      <c r="Z67" s="1"/>
      <c r="AA67" s="1"/>
      <c r="AB67" s="1"/>
      <c r="AC67" s="1"/>
      <c r="AD67" s="1"/>
    </row>
    <row r="68" spans="1:30" s="22" customFormat="1">
      <c r="A68" s="78"/>
      <c r="B68" s="17"/>
      <c r="C68" s="93"/>
      <c r="D68" s="14"/>
      <c r="E68" s="116"/>
      <c r="F68" s="17"/>
      <c r="G68" s="76"/>
      <c r="H68" s="76"/>
      <c r="I68" s="76"/>
      <c r="J68" s="76"/>
      <c r="K68" s="76"/>
      <c r="L68" s="76"/>
      <c r="M68" s="76"/>
      <c r="N68" s="76"/>
      <c r="O68" s="17"/>
      <c r="Q68" s="17"/>
      <c r="R68" s="17"/>
      <c r="S68" s="88"/>
      <c r="T68" s="88"/>
      <c r="U68" s="89"/>
      <c r="V68" s="1"/>
      <c r="W68" s="1"/>
      <c r="X68" s="1"/>
      <c r="Y68" s="1"/>
      <c r="Z68" s="1"/>
      <c r="AA68" s="1"/>
      <c r="AB68" s="1"/>
      <c r="AC68" s="1"/>
      <c r="AD68" s="1"/>
    </row>
    <row r="69" spans="1:30" s="22" customFormat="1">
      <c r="A69" s="78"/>
      <c r="B69" s="17"/>
      <c r="C69" s="93"/>
      <c r="D69" s="14"/>
      <c r="E69" s="116"/>
      <c r="F69" s="17"/>
      <c r="G69" s="76"/>
      <c r="H69" s="76"/>
      <c r="I69" s="76"/>
      <c r="J69" s="76"/>
      <c r="K69" s="76"/>
      <c r="L69" s="76"/>
      <c r="M69" s="76"/>
      <c r="N69" s="76"/>
      <c r="O69" s="17"/>
      <c r="Q69" s="17"/>
      <c r="R69" s="17"/>
      <c r="S69" s="88"/>
      <c r="T69" s="88"/>
      <c r="U69" s="89"/>
      <c r="V69" s="1"/>
      <c r="W69" s="1"/>
      <c r="X69" s="1"/>
      <c r="Y69" s="1"/>
      <c r="Z69" s="1"/>
      <c r="AA69" s="1"/>
      <c r="AB69" s="1"/>
      <c r="AC69" s="1"/>
      <c r="AD69" s="1"/>
    </row>
    <row r="70" spans="1:30" s="22" customFormat="1">
      <c r="A70" s="78"/>
      <c r="B70" s="17"/>
      <c r="C70" s="93"/>
      <c r="D70" s="14"/>
      <c r="E70" s="116"/>
      <c r="F70" s="17"/>
      <c r="G70" s="76"/>
      <c r="H70" s="76"/>
      <c r="I70" s="76"/>
      <c r="J70" s="76"/>
      <c r="K70" s="76"/>
      <c r="L70" s="76"/>
      <c r="M70" s="76"/>
      <c r="N70" s="76"/>
      <c r="O70" s="17"/>
      <c r="Q70" s="17"/>
      <c r="R70" s="17"/>
      <c r="S70" s="88"/>
      <c r="T70" s="88"/>
      <c r="U70" s="89"/>
      <c r="V70" s="1"/>
      <c r="W70" s="1"/>
      <c r="X70" s="1"/>
      <c r="Y70" s="1"/>
      <c r="Z70" s="1"/>
      <c r="AA70" s="1"/>
      <c r="AB70" s="1"/>
      <c r="AC70" s="1"/>
      <c r="AD70" s="1"/>
    </row>
    <row r="71" spans="1:30" s="22" customFormat="1">
      <c r="A71" s="78"/>
      <c r="B71" s="17"/>
      <c r="C71" s="93"/>
      <c r="D71" s="116"/>
      <c r="E71" s="116"/>
      <c r="F71" s="17"/>
      <c r="G71" s="76"/>
      <c r="H71" s="76"/>
      <c r="I71" s="76"/>
      <c r="J71" s="76"/>
      <c r="K71" s="76"/>
      <c r="L71" s="76"/>
      <c r="M71" s="76"/>
      <c r="N71" s="76"/>
      <c r="O71" s="17"/>
      <c r="Q71" s="17"/>
      <c r="R71" s="17"/>
      <c r="S71" s="88"/>
      <c r="T71" s="88"/>
      <c r="U71" s="89"/>
      <c r="V71" s="1"/>
      <c r="W71" s="1"/>
      <c r="X71" s="1"/>
      <c r="Y71" s="1"/>
      <c r="Z71" s="1"/>
      <c r="AA71" s="1"/>
      <c r="AB71" s="1"/>
      <c r="AC71" s="1"/>
      <c r="AD71" s="1"/>
    </row>
  </sheetData>
  <sortState xmlns:xlrd2="http://schemas.microsoft.com/office/spreadsheetml/2017/richdata2" ref="X7:X27">
    <sortCondition ref="X7"/>
  </sortState>
  <mergeCells count="6">
    <mergeCell ref="X5:AD5"/>
    <mergeCell ref="H43:N44"/>
    <mergeCell ref="B2:U2"/>
    <mergeCell ref="A4:U4"/>
    <mergeCell ref="G29:N29"/>
    <mergeCell ref="H37:N40"/>
  </mergeCells>
  <hyperlinks>
    <hyperlink ref="B7" r:id="rId1" display="dibenzofuran_Si" xr:uid="{F1F7BD8F-3EB6-C34A-977D-FE6CF688F52D}"/>
    <hyperlink ref="B8" r:id="rId2" display="phenalene" xr:uid="{46BB66F2-7720-954C-B9B6-9B46640E1C02}"/>
    <hyperlink ref="B9" r:id="rId3" display="phenanthrene" xr:uid="{ADC872D5-A404-F04A-8F67-10082FC3102C}"/>
    <hyperlink ref="B10" r:id="rId4" display="anthracene" xr:uid="{6846C3ED-628D-B045-BA94-0584A466F464}"/>
    <hyperlink ref="B13" r:id="rId5" display="pyrene" xr:uid="{F6D4C222-A706-C14F-B4DB-C7D607550B0A}"/>
    <hyperlink ref="B15" r:id="rId6" display="benzo[c]fluorene" xr:uid="{C3D909CA-10CB-CF4B-86BC-F5B6FEF97B03}"/>
    <hyperlink ref="B18" r:id="rId7" display="coronene" xr:uid="{4A6AC8E3-0FF3-2443-A0C6-0E357FA570E4}"/>
    <hyperlink ref="B14" r:id="rId8" display="chrysene" xr:uid="{3AFAF055-11CE-C541-8A54-065705F8F856}"/>
    <hyperlink ref="B16" r:id="rId9" display="Benz[e]acephenanthrylene" xr:uid="{F9DDD49B-AF53-0D41-BFD9-26D79D1983D1}"/>
    <hyperlink ref="B6" r:id="rId10" display="benzene" xr:uid="{922AC68D-4C61-F048-A135-B59F605A718A}"/>
    <hyperlink ref="B17" r:id="rId11" display="benzo_b_fluorene" xr:uid="{1A6E0FC1-9FE3-404C-A0EF-B8217F9DF490}"/>
    <hyperlink ref="B19" r:id="rId12" xr:uid="{DEE42669-38F4-2246-B2F8-B48D5DE84CAA}"/>
    <hyperlink ref="B20" r:id="rId13" display="Benzo_a_pyrene" xr:uid="{94D020D1-0261-364A-9C3B-236AD2948C42}"/>
    <hyperlink ref="B21" r:id="rId14" xr:uid="{02E9FC95-3731-4F4F-916E-86843F231CCA}"/>
    <hyperlink ref="B22" r:id="rId15" xr:uid="{70254898-6A09-6246-8133-82B61080272F}"/>
    <hyperlink ref="B23" r:id="rId16" xr:uid="{99257EEE-392B-4349-9841-26D13DB41AC1}"/>
    <hyperlink ref="B25" r:id="rId17" xr:uid="{3637C581-7CF7-E14C-855B-EB386AF9D412}"/>
    <hyperlink ref="B26" r:id="rId18" location="section=InChIKey" xr:uid="{E31C7B23-E8E5-D443-8E10-B3D424862D8C}"/>
    <hyperlink ref="B27" r:id="rId19" xr:uid="{A1CAA228-DA4C-4E48-A308-678139ED0A8C}"/>
  </hyperlinks>
  <pageMargins left="0.7" right="0.7" top="0.75" bottom="0.75" header="0.3" footer="0.3"/>
  <drawing r:id="rId2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AD941-F752-B245-99C5-2360823EE286}">
  <sheetPr codeName="Sheet7"/>
  <dimension ref="A2:AD71"/>
  <sheetViews>
    <sheetView topLeftCell="B30" zoomScaleNormal="100" workbookViewId="0">
      <selection activeCell="N72" sqref="N72"/>
    </sheetView>
  </sheetViews>
  <sheetFormatPr baseColWidth="10" defaultRowHeight="16"/>
  <cols>
    <col min="1" max="1" width="8.6640625" style="78" customWidth="1"/>
    <col min="2" max="2" width="17" style="17" bestFit="1" customWidth="1"/>
    <col min="3" max="3" width="32.5" style="93" customWidth="1"/>
    <col min="4" max="4" width="31.83203125" style="17" bestFit="1" customWidth="1"/>
    <col min="5" max="5" width="10.83203125" style="17" customWidth="1"/>
    <col min="6" max="6" width="20.5" style="17" bestFit="1" customWidth="1"/>
    <col min="7" max="7" width="9.6640625" style="76" bestFit="1" customWidth="1"/>
    <col min="8" max="8" width="8.6640625" style="76" bestFit="1" customWidth="1"/>
    <col min="9" max="10" width="8.6640625" style="76" hidden="1" customWidth="1"/>
    <col min="11" max="11" width="10.1640625" style="76" customWidth="1"/>
    <col min="12" max="12" width="10.5" style="76" customWidth="1"/>
    <col min="13" max="13" width="9.83203125" style="76" customWidth="1"/>
    <col min="14" max="14" width="9.6640625" style="76" customWidth="1"/>
    <col min="15" max="15" width="17.33203125" style="17" customWidth="1"/>
    <col min="16" max="16" width="16.33203125" style="22" customWidth="1"/>
    <col min="17" max="18" width="10.83203125" style="17"/>
    <col min="19" max="19" width="10.83203125" style="88"/>
    <col min="20" max="20" width="12.83203125" style="88" customWidth="1"/>
    <col min="21" max="21" width="10.83203125" style="89"/>
    <col min="22" max="16384" width="10.83203125" style="1"/>
  </cols>
  <sheetData>
    <row r="2" spans="1:30">
      <c r="B2" s="157" t="s">
        <v>121</v>
      </c>
      <c r="C2" s="157"/>
      <c r="D2" s="157"/>
      <c r="E2" s="157"/>
      <c r="F2" s="157"/>
      <c r="G2" s="157"/>
      <c r="H2" s="157"/>
      <c r="I2" s="157"/>
      <c r="J2" s="157"/>
      <c r="K2" s="157"/>
      <c r="L2" s="157"/>
      <c r="M2" s="157"/>
      <c r="N2" s="157"/>
      <c r="O2" s="157"/>
      <c r="P2" s="157"/>
      <c r="Q2" s="157"/>
      <c r="R2" s="157"/>
      <c r="S2" s="157"/>
      <c r="T2" s="157"/>
      <c r="U2" s="157"/>
    </row>
    <row r="4" spans="1:30" s="79" customFormat="1" ht="26" customHeight="1">
      <c r="A4" s="158" t="s">
        <v>5</v>
      </c>
      <c r="B4" s="158"/>
      <c r="C4" s="158"/>
      <c r="D4" s="158"/>
      <c r="E4" s="158"/>
      <c r="F4" s="158"/>
      <c r="G4" s="158"/>
      <c r="H4" s="158"/>
      <c r="I4" s="158"/>
      <c r="J4" s="158"/>
      <c r="K4" s="158"/>
      <c r="L4" s="158"/>
      <c r="M4" s="158"/>
      <c r="N4" s="158"/>
      <c r="O4" s="158"/>
      <c r="P4" s="158"/>
      <c r="Q4" s="158"/>
      <c r="R4" s="158"/>
      <c r="S4" s="158"/>
      <c r="T4" s="158"/>
      <c r="U4" s="158"/>
    </row>
    <row r="5" spans="1:30" s="7" customFormat="1" ht="51">
      <c r="A5" s="15" t="s">
        <v>39</v>
      </c>
      <c r="B5" s="15" t="s">
        <v>6</v>
      </c>
      <c r="C5" s="15" t="s">
        <v>15</v>
      </c>
      <c r="D5" s="15" t="s">
        <v>23</v>
      </c>
      <c r="E5" s="15" t="s">
        <v>7</v>
      </c>
      <c r="F5" s="15" t="s">
        <v>8</v>
      </c>
      <c r="G5" s="80" t="str">
        <f>BPCA!C5</f>
        <v xml:space="preserve">B2CA-1 </v>
      </c>
      <c r="H5" s="80" t="str">
        <f>BPCA!G5</f>
        <v>B3CA-2</v>
      </c>
      <c r="I5" s="80" t="str">
        <f>BPCA!H5</f>
        <v>B3CA-3</v>
      </c>
      <c r="J5" s="80" t="str">
        <f>BPCA!I5</f>
        <v xml:space="preserve">B4CA-1 </v>
      </c>
      <c r="K5" s="80" t="str">
        <f>BPCA!J5</f>
        <v>B4CA-2</v>
      </c>
      <c r="L5" s="80" t="str">
        <f>BPCA!K5</f>
        <v>B4CA-3</v>
      </c>
      <c r="M5" s="80" t="str">
        <f>BPCA!L5</f>
        <v>B5CA</v>
      </c>
      <c r="N5" s="81" t="s">
        <v>4</v>
      </c>
      <c r="O5" s="82" t="s">
        <v>156</v>
      </c>
      <c r="P5" s="83" t="s">
        <v>9</v>
      </c>
      <c r="Q5" s="84" t="s">
        <v>10</v>
      </c>
      <c r="R5" s="84" t="s">
        <v>11</v>
      </c>
      <c r="S5" s="84" t="s">
        <v>12</v>
      </c>
      <c r="T5" s="84" t="s">
        <v>13</v>
      </c>
      <c r="U5" s="85" t="s">
        <v>14</v>
      </c>
      <c r="V5" s="86"/>
      <c r="X5" s="158" t="s">
        <v>40</v>
      </c>
      <c r="Y5" s="158"/>
      <c r="Z5" s="158"/>
      <c r="AA5" s="158"/>
      <c r="AB5" s="158"/>
      <c r="AC5" s="158"/>
      <c r="AD5" s="158"/>
    </row>
    <row r="6" spans="1:30" ht="76" customHeight="1">
      <c r="A6" s="78">
        <v>0</v>
      </c>
      <c r="B6" s="87" t="s">
        <v>16</v>
      </c>
      <c r="C6" s="1"/>
      <c r="D6" s="17">
        <v>6</v>
      </c>
      <c r="E6" s="17">
        <v>6</v>
      </c>
      <c r="F6" s="17">
        <v>1</v>
      </c>
      <c r="G6" s="76">
        <v>0</v>
      </c>
      <c r="H6" s="76">
        <v>0</v>
      </c>
      <c r="I6" s="76">
        <v>0</v>
      </c>
      <c r="J6" s="76">
        <v>0</v>
      </c>
      <c r="K6" s="76">
        <v>0</v>
      </c>
      <c r="L6" s="76">
        <v>0</v>
      </c>
      <c r="M6" s="76">
        <v>0</v>
      </c>
      <c r="N6" s="76">
        <v>0</v>
      </c>
      <c r="O6" s="88">
        <v>0</v>
      </c>
      <c r="P6" s="22">
        <f t="shared" ref="P6:P27" si="0">(O6/SUM(O$6:O$27)*100)</f>
        <v>0</v>
      </c>
      <c r="Q6" s="88">
        <f t="shared" ref="Q6:Q27" si="1">D6*O6</f>
        <v>0</v>
      </c>
      <c r="R6" s="88">
        <f t="shared" ref="R6:R27" si="2">E6*O6</f>
        <v>0</v>
      </c>
      <c r="S6" s="88">
        <f>(Q6/SUM(Q6:Q26)*100)</f>
        <v>0</v>
      </c>
      <c r="T6" s="88">
        <f>(R6/SUM(R6:R26)*100)</f>
        <v>0</v>
      </c>
      <c r="U6" s="89">
        <f t="shared" ref="U6:U27" si="3">(12.011*D6)+(1.008*E6)</f>
        <v>78.114000000000004</v>
      </c>
      <c r="X6"/>
      <c r="Y6"/>
    </row>
    <row r="7" spans="1:30" ht="82" customHeight="1">
      <c r="A7" s="78">
        <v>1</v>
      </c>
      <c r="B7" s="87" t="s">
        <v>17</v>
      </c>
      <c r="C7" s="1"/>
      <c r="D7" s="17">
        <v>13</v>
      </c>
      <c r="E7" s="17">
        <v>10</v>
      </c>
      <c r="F7" s="17">
        <v>2</v>
      </c>
      <c r="G7" s="76">
        <f>1</f>
        <v>1</v>
      </c>
      <c r="H7" s="76">
        <v>0</v>
      </c>
      <c r="I7" s="76">
        <v>0</v>
      </c>
      <c r="J7" s="76">
        <v>0</v>
      </c>
      <c r="K7" s="76">
        <v>0</v>
      </c>
      <c r="L7" s="76">
        <v>0</v>
      </c>
      <c r="M7" s="76">
        <v>0</v>
      </c>
      <c r="N7" s="76">
        <v>0</v>
      </c>
      <c r="O7" s="17">
        <v>0</v>
      </c>
      <c r="P7" s="22">
        <f t="shared" si="0"/>
        <v>0</v>
      </c>
      <c r="Q7" s="88">
        <f t="shared" si="1"/>
        <v>0</v>
      </c>
      <c r="R7" s="88">
        <f t="shared" si="2"/>
        <v>0</v>
      </c>
      <c r="S7" s="88">
        <f t="shared" ref="S7:T7" si="4">(Q7/SUM(Q7:Q29)*100)</f>
        <v>0</v>
      </c>
      <c r="T7" s="88">
        <f t="shared" si="4"/>
        <v>0</v>
      </c>
      <c r="U7" s="89">
        <f t="shared" si="3"/>
        <v>166.22300000000001</v>
      </c>
      <c r="X7" s="90"/>
      <c r="Y7"/>
    </row>
    <row r="8" spans="1:30" ht="100" customHeight="1">
      <c r="A8" s="78">
        <v>2</v>
      </c>
      <c r="B8" s="87" t="s">
        <v>18</v>
      </c>
      <c r="C8" s="1"/>
      <c r="D8" s="17">
        <v>13</v>
      </c>
      <c r="E8" s="17">
        <v>10</v>
      </c>
      <c r="F8" s="17">
        <v>3</v>
      </c>
      <c r="G8" s="76">
        <v>0</v>
      </c>
      <c r="H8" s="76">
        <v>1</v>
      </c>
      <c r="I8" s="76">
        <v>0</v>
      </c>
      <c r="J8" s="76">
        <v>0</v>
      </c>
      <c r="K8" s="76">
        <v>0</v>
      </c>
      <c r="L8" s="76">
        <v>0</v>
      </c>
      <c r="M8" s="76">
        <v>0</v>
      </c>
      <c r="N8" s="76">
        <v>0</v>
      </c>
      <c r="O8" s="17">
        <v>0</v>
      </c>
      <c r="P8" s="22">
        <f t="shared" si="0"/>
        <v>0</v>
      </c>
      <c r="Q8" s="88">
        <f t="shared" si="1"/>
        <v>0</v>
      </c>
      <c r="R8" s="88">
        <f t="shared" si="2"/>
        <v>0</v>
      </c>
      <c r="S8" s="88">
        <f>(Q8/SUM(Q8:Q30)*100)</f>
        <v>0</v>
      </c>
      <c r="T8" s="88">
        <f>(R8/SUM(R8:R30)*100)</f>
        <v>0</v>
      </c>
      <c r="U8" s="89">
        <f t="shared" si="3"/>
        <v>166.22300000000001</v>
      </c>
      <c r="X8" s="90"/>
      <c r="Y8"/>
    </row>
    <row r="9" spans="1:30" ht="79" customHeight="1">
      <c r="A9" s="91">
        <v>3</v>
      </c>
      <c r="B9" s="87" t="s">
        <v>19</v>
      </c>
      <c r="C9" s="1"/>
      <c r="D9" s="17">
        <v>14</v>
      </c>
      <c r="E9" s="17">
        <v>10</v>
      </c>
      <c r="F9" s="17">
        <v>3</v>
      </c>
      <c r="G9" s="92">
        <f>2/3</f>
        <v>0.66666666666666663</v>
      </c>
      <c r="H9" s="76">
        <v>0</v>
      </c>
      <c r="I9" s="76">
        <v>0</v>
      </c>
      <c r="J9" s="76">
        <v>0</v>
      </c>
      <c r="K9" s="76">
        <v>0</v>
      </c>
      <c r="L9" s="76">
        <f>1/3</f>
        <v>0.33333333333333331</v>
      </c>
      <c r="M9" s="76">
        <v>0</v>
      </c>
      <c r="N9" s="76">
        <v>0</v>
      </c>
      <c r="O9" s="17">
        <v>0</v>
      </c>
      <c r="P9" s="22">
        <f t="shared" si="0"/>
        <v>0</v>
      </c>
      <c r="Q9" s="88">
        <f t="shared" si="1"/>
        <v>0</v>
      </c>
      <c r="R9" s="88">
        <f t="shared" si="2"/>
        <v>0</v>
      </c>
      <c r="S9" s="88">
        <f>(Q9/SUM(Q9:Q31)*100)</f>
        <v>0</v>
      </c>
      <c r="T9" s="88">
        <f>(R9/SUM(R9:R31)*100)</f>
        <v>0</v>
      </c>
      <c r="U9" s="89">
        <f t="shared" si="3"/>
        <v>178.23400000000001</v>
      </c>
      <c r="X9" s="90"/>
      <c r="Y9"/>
    </row>
    <row r="10" spans="1:30" ht="83" customHeight="1">
      <c r="A10" s="91">
        <v>4</v>
      </c>
      <c r="B10" s="87" t="s">
        <v>20</v>
      </c>
      <c r="C10" s="1"/>
      <c r="D10" s="17">
        <v>14</v>
      </c>
      <c r="E10" s="17">
        <v>10</v>
      </c>
      <c r="F10" s="17">
        <v>3</v>
      </c>
      <c r="G10" s="76">
        <f>1</f>
        <v>1</v>
      </c>
      <c r="H10" s="76">
        <v>0</v>
      </c>
      <c r="I10" s="76">
        <v>0</v>
      </c>
      <c r="J10" s="76">
        <v>0</v>
      </c>
      <c r="K10" s="76">
        <v>0</v>
      </c>
      <c r="L10" s="76">
        <v>0</v>
      </c>
      <c r="M10" s="76">
        <v>0</v>
      </c>
      <c r="N10" s="76">
        <v>0</v>
      </c>
      <c r="O10" s="17">
        <v>0</v>
      </c>
      <c r="P10" s="22">
        <f t="shared" si="0"/>
        <v>0</v>
      </c>
      <c r="Q10" s="88">
        <f t="shared" si="1"/>
        <v>0</v>
      </c>
      <c r="R10" s="88">
        <f t="shared" si="2"/>
        <v>0</v>
      </c>
      <c r="S10" s="88">
        <f>(Q10/SUM(Q10:Q33)*100)</f>
        <v>0</v>
      </c>
      <c r="T10" s="88">
        <f>(R10/SUM(R10:R33)*100)</f>
        <v>0</v>
      </c>
      <c r="U10" s="89">
        <f t="shared" si="3"/>
        <v>178.23400000000001</v>
      </c>
      <c r="X10" s="90"/>
      <c r="Y10"/>
    </row>
    <row r="11" spans="1:30" ht="83" customHeight="1">
      <c r="A11" s="78">
        <v>5</v>
      </c>
      <c r="B11" s="87" t="s">
        <v>54</v>
      </c>
      <c r="C11" s="1"/>
      <c r="D11" s="17">
        <v>18</v>
      </c>
      <c r="E11" s="17">
        <v>12</v>
      </c>
      <c r="F11" s="17">
        <v>4</v>
      </c>
      <c r="G11" s="76">
        <f>2/4</f>
        <v>0.5</v>
      </c>
      <c r="H11" s="76">
        <v>0</v>
      </c>
      <c r="I11" s="76">
        <v>0</v>
      </c>
      <c r="J11" s="76">
        <v>0</v>
      </c>
      <c r="K11" s="76">
        <f>2/4</f>
        <v>0.5</v>
      </c>
      <c r="L11" s="76">
        <v>0</v>
      </c>
      <c r="M11" s="76">
        <v>0</v>
      </c>
      <c r="N11" s="76">
        <v>0</v>
      </c>
      <c r="O11" s="17">
        <v>0</v>
      </c>
      <c r="P11" s="22">
        <f t="shared" si="0"/>
        <v>0</v>
      </c>
      <c r="Q11" s="88">
        <f t="shared" si="1"/>
        <v>0</v>
      </c>
      <c r="R11" s="88">
        <f t="shared" si="2"/>
        <v>0</v>
      </c>
      <c r="U11" s="89">
        <f t="shared" si="3"/>
        <v>228.29399999999998</v>
      </c>
      <c r="X11" s="90"/>
      <c r="Y11"/>
    </row>
    <row r="12" spans="1:30" ht="83" customHeight="1">
      <c r="A12" s="78">
        <v>6</v>
      </c>
      <c r="B12" s="87" t="s">
        <v>53</v>
      </c>
      <c r="C12" s="1"/>
      <c r="D12" s="17">
        <v>22</v>
      </c>
      <c r="E12" s="17">
        <v>14</v>
      </c>
      <c r="F12" s="17">
        <v>5</v>
      </c>
      <c r="G12" s="76">
        <f>2/5</f>
        <v>0.4</v>
      </c>
      <c r="H12" s="76">
        <v>0</v>
      </c>
      <c r="I12" s="76">
        <v>0</v>
      </c>
      <c r="J12" s="76">
        <v>0</v>
      </c>
      <c r="K12" s="76">
        <v>0.6</v>
      </c>
      <c r="L12" s="76">
        <v>0</v>
      </c>
      <c r="M12" s="76">
        <v>0</v>
      </c>
      <c r="N12" s="76">
        <v>0</v>
      </c>
      <c r="O12" s="17">
        <v>5</v>
      </c>
      <c r="P12" s="22">
        <f t="shared" si="0"/>
        <v>4.9019607843137258</v>
      </c>
      <c r="Q12" s="88">
        <f t="shared" si="1"/>
        <v>110</v>
      </c>
      <c r="R12" s="88">
        <f t="shared" si="2"/>
        <v>70</v>
      </c>
      <c r="U12" s="89">
        <f t="shared" si="3"/>
        <v>278.35399999999998</v>
      </c>
      <c r="X12" s="90"/>
      <c r="Y12"/>
    </row>
    <row r="13" spans="1:30" ht="91" customHeight="1">
      <c r="A13" s="91">
        <v>7</v>
      </c>
      <c r="B13" s="87" t="s">
        <v>21</v>
      </c>
      <c r="C13" s="1"/>
      <c r="D13" s="17">
        <v>16</v>
      </c>
      <c r="E13" s="17">
        <v>10</v>
      </c>
      <c r="F13" s="17">
        <v>4</v>
      </c>
      <c r="G13" s="76">
        <v>0</v>
      </c>
      <c r="H13" s="76">
        <f>2/4</f>
        <v>0.5</v>
      </c>
      <c r="I13" s="76">
        <v>0</v>
      </c>
      <c r="J13" s="76">
        <v>0</v>
      </c>
      <c r="K13" s="76">
        <v>0</v>
      </c>
      <c r="L13" s="76">
        <f>2/4</f>
        <v>0.5</v>
      </c>
      <c r="M13" s="76">
        <v>0</v>
      </c>
      <c r="N13" s="76">
        <v>0</v>
      </c>
      <c r="O13" s="17">
        <v>0</v>
      </c>
      <c r="P13" s="22">
        <f t="shared" si="0"/>
        <v>0</v>
      </c>
      <c r="Q13" s="88">
        <f t="shared" si="1"/>
        <v>0</v>
      </c>
      <c r="R13" s="88">
        <f t="shared" si="2"/>
        <v>0</v>
      </c>
      <c r="S13" s="88">
        <f>(Q13/SUM(Q13:Q34)*100)</f>
        <v>0</v>
      </c>
      <c r="T13" s="88">
        <f>(R13/SUM(R13:R34)*100)</f>
        <v>0</v>
      </c>
      <c r="U13" s="89">
        <f t="shared" si="3"/>
        <v>202.256</v>
      </c>
      <c r="X13" s="90"/>
      <c r="Y13"/>
    </row>
    <row r="14" spans="1:30" ht="91" customHeight="1">
      <c r="A14" s="91">
        <v>8</v>
      </c>
      <c r="B14" s="87" t="s">
        <v>22</v>
      </c>
      <c r="C14" s="1"/>
      <c r="D14" s="17">
        <v>18</v>
      </c>
      <c r="E14" s="17">
        <v>12</v>
      </c>
      <c r="F14" s="17">
        <v>4</v>
      </c>
      <c r="G14" s="76">
        <v>0.5</v>
      </c>
      <c r="H14" s="76">
        <v>0</v>
      </c>
      <c r="I14" s="76">
        <v>0</v>
      </c>
      <c r="J14" s="76">
        <v>0</v>
      </c>
      <c r="K14" s="76">
        <v>0</v>
      </c>
      <c r="L14" s="76">
        <v>0.5</v>
      </c>
      <c r="M14" s="76">
        <v>0</v>
      </c>
      <c r="N14" s="76">
        <v>0</v>
      </c>
      <c r="O14" s="17">
        <v>0</v>
      </c>
      <c r="P14" s="22">
        <f t="shared" si="0"/>
        <v>0</v>
      </c>
      <c r="Q14" s="88">
        <f t="shared" si="1"/>
        <v>0</v>
      </c>
      <c r="R14" s="88">
        <f t="shared" si="2"/>
        <v>0</v>
      </c>
      <c r="S14" s="88">
        <f>(Q14/SUM(Q14:Q35)*100)</f>
        <v>0</v>
      </c>
      <c r="T14" s="88">
        <f>(R14/SUM(R14:R35)*100)</f>
        <v>0</v>
      </c>
      <c r="U14" s="89">
        <f t="shared" si="3"/>
        <v>228.29399999999998</v>
      </c>
      <c r="X14" s="90"/>
      <c r="Y14"/>
    </row>
    <row r="15" spans="1:30" ht="69" customHeight="1">
      <c r="A15" s="78">
        <v>9</v>
      </c>
      <c r="B15" s="87" t="s">
        <v>26</v>
      </c>
      <c r="C15" s="1"/>
      <c r="D15" s="17">
        <v>17</v>
      </c>
      <c r="E15" s="17">
        <v>12</v>
      </c>
      <c r="F15" s="17">
        <v>3</v>
      </c>
      <c r="G15" s="76">
        <f>2/3</f>
        <v>0.66666666666666663</v>
      </c>
      <c r="H15" s="76">
        <v>0</v>
      </c>
      <c r="I15" s="76">
        <v>0</v>
      </c>
      <c r="J15" s="76">
        <v>0</v>
      </c>
      <c r="K15" s="76">
        <v>0</v>
      </c>
      <c r="L15" s="76">
        <f>1/3</f>
        <v>0.33333333333333331</v>
      </c>
      <c r="M15" s="76">
        <v>0</v>
      </c>
      <c r="N15" s="76">
        <v>0</v>
      </c>
      <c r="O15" s="17">
        <v>0</v>
      </c>
      <c r="P15" s="22">
        <f t="shared" si="0"/>
        <v>0</v>
      </c>
      <c r="Q15" s="88">
        <f t="shared" si="1"/>
        <v>0</v>
      </c>
      <c r="R15" s="88">
        <f t="shared" si="2"/>
        <v>0</v>
      </c>
      <c r="S15" s="88">
        <f>(Q15/SUM(Q15:Q35)*100)</f>
        <v>0</v>
      </c>
      <c r="T15" s="88">
        <f>(R15/SUM(R15:R35)*100)</f>
        <v>0</v>
      </c>
      <c r="U15" s="89">
        <f t="shared" si="3"/>
        <v>216.28299999999999</v>
      </c>
      <c r="X15" s="90"/>
      <c r="Y15"/>
    </row>
    <row r="16" spans="1:30" ht="102" customHeight="1">
      <c r="A16" s="78">
        <v>10</v>
      </c>
      <c r="B16" s="87" t="s">
        <v>27</v>
      </c>
      <c r="C16" s="1"/>
      <c r="D16" s="17">
        <v>20</v>
      </c>
      <c r="E16" s="17">
        <v>12</v>
      </c>
      <c r="F16" s="17">
        <v>4</v>
      </c>
      <c r="G16" s="76">
        <f>2/4</f>
        <v>0.5</v>
      </c>
      <c r="H16" s="76">
        <f>1/4</f>
        <v>0.25</v>
      </c>
      <c r="I16" s="76">
        <v>0</v>
      </c>
      <c r="J16" s="76">
        <v>0</v>
      </c>
      <c r="K16" s="76">
        <v>0</v>
      </c>
      <c r="L16" s="76">
        <v>0</v>
      </c>
      <c r="M16" s="76">
        <v>0.25</v>
      </c>
      <c r="N16" s="76">
        <v>0</v>
      </c>
      <c r="O16" s="17">
        <v>0</v>
      </c>
      <c r="P16" s="22">
        <f t="shared" si="0"/>
        <v>0</v>
      </c>
      <c r="Q16" s="88">
        <f t="shared" si="1"/>
        <v>0</v>
      </c>
      <c r="R16" s="88">
        <f t="shared" si="2"/>
        <v>0</v>
      </c>
      <c r="S16" s="88">
        <f>(Q16/SUM(Q16:Q37)*100)</f>
        <v>0</v>
      </c>
      <c r="T16" s="88">
        <f>(R16/SUM(R16:R37)*100)</f>
        <v>0</v>
      </c>
      <c r="U16" s="89">
        <f t="shared" si="3"/>
        <v>252.31599999999997</v>
      </c>
      <c r="X16" s="90"/>
      <c r="Y16"/>
    </row>
    <row r="17" spans="1:25" ht="71" customHeight="1">
      <c r="A17" s="78">
        <v>11</v>
      </c>
      <c r="B17" s="87" t="s">
        <v>28</v>
      </c>
      <c r="C17" s="1"/>
      <c r="D17" s="17">
        <v>17</v>
      </c>
      <c r="E17" s="17">
        <v>12</v>
      </c>
      <c r="F17" s="17">
        <v>3</v>
      </c>
      <c r="G17" s="76">
        <f>G15</f>
        <v>0.66666666666666663</v>
      </c>
      <c r="H17" s="76">
        <v>0</v>
      </c>
      <c r="I17" s="76">
        <v>0</v>
      </c>
      <c r="J17" s="76">
        <v>0</v>
      </c>
      <c r="K17" s="76">
        <v>0</v>
      </c>
      <c r="L17" s="76">
        <f>L15</f>
        <v>0.33333333333333331</v>
      </c>
      <c r="M17" s="76">
        <v>0</v>
      </c>
      <c r="N17" s="76">
        <v>0</v>
      </c>
      <c r="O17" s="17">
        <v>0</v>
      </c>
      <c r="P17" s="22">
        <f t="shared" si="0"/>
        <v>0</v>
      </c>
      <c r="Q17" s="88">
        <f t="shared" si="1"/>
        <v>0</v>
      </c>
      <c r="R17" s="88">
        <f t="shared" si="2"/>
        <v>0</v>
      </c>
      <c r="S17" s="88">
        <f t="shared" ref="S17:T19" si="5">(Q17/SUM(Q17:Q39)*100)</f>
        <v>0</v>
      </c>
      <c r="T17" s="88">
        <f t="shared" si="5"/>
        <v>0</v>
      </c>
      <c r="U17" s="89">
        <f t="shared" si="3"/>
        <v>216.28299999999999</v>
      </c>
      <c r="X17" s="90"/>
      <c r="Y17"/>
    </row>
    <row r="18" spans="1:25" ht="117" customHeight="1">
      <c r="A18" s="91">
        <v>12</v>
      </c>
      <c r="B18" s="87" t="s">
        <v>24</v>
      </c>
      <c r="C18" s="1"/>
      <c r="D18" s="17">
        <v>24</v>
      </c>
      <c r="E18" s="17">
        <v>12</v>
      </c>
      <c r="F18" s="17">
        <v>7</v>
      </c>
      <c r="G18" s="76">
        <v>0</v>
      </c>
      <c r="H18" s="76">
        <v>0</v>
      </c>
      <c r="I18" s="76">
        <v>0</v>
      </c>
      <c r="J18" s="76">
        <v>0</v>
      </c>
      <c r="K18" s="76">
        <v>0</v>
      </c>
      <c r="L18" s="76">
        <f>6/7</f>
        <v>0.8571428571428571</v>
      </c>
      <c r="M18" s="76">
        <v>0</v>
      </c>
      <c r="N18" s="76">
        <f>1/7</f>
        <v>0.14285714285714285</v>
      </c>
      <c r="O18" s="17">
        <v>0</v>
      </c>
      <c r="P18" s="22">
        <f t="shared" si="0"/>
        <v>0</v>
      </c>
      <c r="Q18" s="88">
        <f t="shared" si="1"/>
        <v>0</v>
      </c>
      <c r="R18" s="88">
        <f t="shared" si="2"/>
        <v>0</v>
      </c>
      <c r="S18" s="88">
        <f t="shared" si="5"/>
        <v>0</v>
      </c>
      <c r="T18" s="88">
        <f t="shared" si="5"/>
        <v>0</v>
      </c>
      <c r="U18" s="89">
        <f t="shared" si="3"/>
        <v>300.36</v>
      </c>
      <c r="X18" s="90"/>
      <c r="Y18"/>
    </row>
    <row r="19" spans="1:25" ht="93" customHeight="1">
      <c r="A19" s="91">
        <v>13</v>
      </c>
      <c r="B19" s="87" t="s">
        <v>25</v>
      </c>
      <c r="D19" s="17">
        <v>20</v>
      </c>
      <c r="E19" s="17">
        <v>12</v>
      </c>
      <c r="F19" s="17">
        <v>5</v>
      </c>
      <c r="G19" s="76">
        <v>0</v>
      </c>
      <c r="H19" s="76">
        <f>4/5</f>
        <v>0.8</v>
      </c>
      <c r="I19" s="76">
        <v>0</v>
      </c>
      <c r="J19" s="76">
        <v>0</v>
      </c>
      <c r="K19" s="76">
        <v>0</v>
      </c>
      <c r="L19" s="76">
        <v>0</v>
      </c>
      <c r="M19" s="76">
        <v>0</v>
      </c>
      <c r="N19" s="76">
        <f>1/5</f>
        <v>0.2</v>
      </c>
      <c r="O19" s="17">
        <v>6</v>
      </c>
      <c r="P19" s="22">
        <f t="shared" si="0"/>
        <v>5.8823529411764701</v>
      </c>
      <c r="Q19" s="88">
        <f t="shared" si="1"/>
        <v>120</v>
      </c>
      <c r="R19" s="88">
        <f t="shared" si="2"/>
        <v>72</v>
      </c>
      <c r="S19" s="88">
        <f t="shared" si="5"/>
        <v>0.84614299816669014</v>
      </c>
      <c r="T19" s="88">
        <f t="shared" si="5"/>
        <v>1.7249640632486822</v>
      </c>
      <c r="U19" s="89">
        <f t="shared" si="3"/>
        <v>252.31599999999997</v>
      </c>
      <c r="X19" s="90"/>
      <c r="Y19"/>
    </row>
    <row r="20" spans="1:25" ht="95" customHeight="1">
      <c r="A20" s="78">
        <v>14</v>
      </c>
      <c r="B20" s="87" t="s">
        <v>29</v>
      </c>
      <c r="D20" s="17">
        <v>20</v>
      </c>
      <c r="E20" s="17">
        <v>12</v>
      </c>
      <c r="F20" s="17">
        <v>5</v>
      </c>
      <c r="G20" s="76">
        <f>1/5</f>
        <v>0.2</v>
      </c>
      <c r="H20" s="76">
        <f>1/5</f>
        <v>0.2</v>
      </c>
      <c r="I20" s="76">
        <v>0</v>
      </c>
      <c r="J20" s="76">
        <v>0</v>
      </c>
      <c r="K20" s="76">
        <v>0</v>
      </c>
      <c r="L20" s="76">
        <v>0.4</v>
      </c>
      <c r="M20" s="76">
        <v>0.2</v>
      </c>
      <c r="N20" s="76">
        <v>0</v>
      </c>
      <c r="O20" s="17">
        <v>0</v>
      </c>
      <c r="P20" s="22">
        <f t="shared" si="0"/>
        <v>0</v>
      </c>
      <c r="Q20" s="88">
        <f t="shared" si="1"/>
        <v>0</v>
      </c>
      <c r="R20" s="88">
        <f t="shared" si="2"/>
        <v>0</v>
      </c>
      <c r="S20" s="88">
        <f t="shared" ref="S20:T27" si="6">(Q20/SUM(Q20:Q43)*100)</f>
        <v>0</v>
      </c>
      <c r="T20" s="88">
        <f t="shared" si="6"/>
        <v>0</v>
      </c>
      <c r="U20" s="89">
        <f t="shared" si="3"/>
        <v>252.31599999999997</v>
      </c>
      <c r="X20" s="90"/>
      <c r="Y20"/>
    </row>
    <row r="21" spans="1:25" ht="102" customHeight="1">
      <c r="A21" s="91">
        <v>15</v>
      </c>
      <c r="B21" s="87" t="s">
        <v>30</v>
      </c>
      <c r="D21" s="17">
        <v>22</v>
      </c>
      <c r="E21" s="17">
        <v>12</v>
      </c>
      <c r="F21" s="17">
        <v>6</v>
      </c>
      <c r="G21" s="76">
        <v>0</v>
      </c>
      <c r="H21" s="76">
        <f>2/6</f>
        <v>0.33333333333333331</v>
      </c>
      <c r="I21" s="76">
        <v>0</v>
      </c>
      <c r="J21" s="76">
        <v>0</v>
      </c>
      <c r="K21" s="76">
        <v>0</v>
      </c>
      <c r="L21" s="76">
        <f>3/6</f>
        <v>0.5</v>
      </c>
      <c r="M21" s="76">
        <v>0</v>
      </c>
      <c r="N21" s="76">
        <f>1/6</f>
        <v>0.16666666666666666</v>
      </c>
      <c r="O21" s="17">
        <v>0</v>
      </c>
      <c r="P21" s="22">
        <f t="shared" si="0"/>
        <v>0</v>
      </c>
      <c r="Q21" s="88">
        <f t="shared" si="1"/>
        <v>0</v>
      </c>
      <c r="R21" s="88">
        <f t="shared" si="2"/>
        <v>0</v>
      </c>
      <c r="S21" s="88">
        <f t="shared" si="6"/>
        <v>0</v>
      </c>
      <c r="T21" s="88">
        <f t="shared" si="6"/>
        <v>0</v>
      </c>
      <c r="U21" s="89">
        <f t="shared" si="3"/>
        <v>276.33799999999997</v>
      </c>
      <c r="X21" s="90"/>
      <c r="Y21"/>
    </row>
    <row r="22" spans="1:25" ht="137" customHeight="1">
      <c r="A22" s="78">
        <v>16</v>
      </c>
      <c r="B22" s="87" t="s">
        <v>31</v>
      </c>
      <c r="C22" s="1"/>
      <c r="D22" s="17">
        <v>42</v>
      </c>
      <c r="E22" s="17">
        <v>16</v>
      </c>
      <c r="F22" s="17">
        <v>14</v>
      </c>
      <c r="G22" s="76">
        <v>0</v>
      </c>
      <c r="H22" s="76">
        <v>0</v>
      </c>
      <c r="I22" s="76">
        <v>0</v>
      </c>
      <c r="J22" s="76">
        <v>0</v>
      </c>
      <c r="K22" s="76">
        <v>0</v>
      </c>
      <c r="L22" s="76">
        <f>6/14</f>
        <v>0.42857142857142855</v>
      </c>
      <c r="M22" s="76">
        <f>4/14</f>
        <v>0.2857142857142857</v>
      </c>
      <c r="N22" s="76">
        <f>4/14</f>
        <v>0.2857142857142857</v>
      </c>
      <c r="O22" s="17">
        <v>0</v>
      </c>
      <c r="P22" s="22">
        <f t="shared" si="0"/>
        <v>0</v>
      </c>
      <c r="Q22" s="88">
        <f t="shared" si="1"/>
        <v>0</v>
      </c>
      <c r="R22" s="88">
        <f t="shared" si="2"/>
        <v>0</v>
      </c>
      <c r="S22" s="88">
        <f t="shared" si="6"/>
        <v>0</v>
      </c>
      <c r="T22" s="88">
        <f t="shared" si="6"/>
        <v>0</v>
      </c>
      <c r="U22" s="89">
        <f t="shared" si="3"/>
        <v>520.59</v>
      </c>
      <c r="X22" s="90"/>
      <c r="Y22"/>
    </row>
    <row r="23" spans="1:25" ht="167" customHeight="1">
      <c r="A23" s="78">
        <v>17</v>
      </c>
      <c r="B23" s="87" t="s">
        <v>32</v>
      </c>
      <c r="C23" s="1"/>
      <c r="D23" s="17">
        <v>54</v>
      </c>
      <c r="E23" s="17">
        <v>18</v>
      </c>
      <c r="F23" s="17">
        <v>19</v>
      </c>
      <c r="G23" s="76">
        <v>0</v>
      </c>
      <c r="H23" s="76">
        <v>0</v>
      </c>
      <c r="I23" s="76">
        <v>0</v>
      </c>
      <c r="J23" s="76">
        <v>0</v>
      </c>
      <c r="K23" s="76">
        <v>0</v>
      </c>
      <c r="L23" s="76">
        <f>6/19</f>
        <v>0.31578947368421051</v>
      </c>
      <c r="M23" s="76">
        <f>6/19</f>
        <v>0.31578947368421051</v>
      </c>
      <c r="N23" s="76">
        <f>7/19</f>
        <v>0.36842105263157893</v>
      </c>
      <c r="O23" s="17">
        <v>0</v>
      </c>
      <c r="P23" s="22">
        <f t="shared" si="0"/>
        <v>0</v>
      </c>
      <c r="Q23" s="88">
        <f t="shared" si="1"/>
        <v>0</v>
      </c>
      <c r="R23" s="88">
        <f t="shared" si="2"/>
        <v>0</v>
      </c>
      <c r="S23" s="88">
        <f t="shared" si="6"/>
        <v>0</v>
      </c>
      <c r="T23" s="88">
        <f t="shared" si="6"/>
        <v>0</v>
      </c>
      <c r="U23" s="89">
        <f t="shared" si="3"/>
        <v>666.73799999999994</v>
      </c>
      <c r="X23" s="90"/>
      <c r="Y23"/>
    </row>
    <row r="24" spans="1:25" ht="151" customHeight="1">
      <c r="A24" s="78">
        <v>18</v>
      </c>
      <c r="B24" s="87" t="s">
        <v>33</v>
      </c>
      <c r="C24" s="1"/>
      <c r="D24" s="17">
        <v>66</v>
      </c>
      <c r="E24" s="17">
        <v>20</v>
      </c>
      <c r="F24" s="17">
        <v>24</v>
      </c>
      <c r="G24" s="76">
        <v>0</v>
      </c>
      <c r="H24" s="76">
        <v>0</v>
      </c>
      <c r="I24" s="76">
        <v>0</v>
      </c>
      <c r="J24" s="76">
        <v>0</v>
      </c>
      <c r="K24" s="76">
        <v>0</v>
      </c>
      <c r="L24" s="76">
        <f>6/24</f>
        <v>0.25</v>
      </c>
      <c r="M24" s="76">
        <f>8/24</f>
        <v>0.33333333333333331</v>
      </c>
      <c r="N24" s="76">
        <f>10/24</f>
        <v>0.41666666666666669</v>
      </c>
      <c r="O24" s="17">
        <v>11</v>
      </c>
      <c r="P24" s="22">
        <f t="shared" si="0"/>
        <v>10.784313725490197</v>
      </c>
      <c r="Q24" s="88">
        <f t="shared" si="1"/>
        <v>726</v>
      </c>
      <c r="R24" s="88">
        <f t="shared" si="2"/>
        <v>220</v>
      </c>
      <c r="S24" s="88">
        <f t="shared" si="6"/>
        <v>5.1628502346750107</v>
      </c>
      <c r="T24" s="88">
        <f t="shared" si="6"/>
        <v>5.3632374451487079</v>
      </c>
      <c r="U24" s="89">
        <f t="shared" si="3"/>
        <v>812.88599999999997</v>
      </c>
      <c r="X24" s="90"/>
      <c r="Y24"/>
    </row>
    <row r="25" spans="1:25" ht="151" customHeight="1">
      <c r="A25" s="78">
        <v>19</v>
      </c>
      <c r="B25" s="87" t="s">
        <v>35</v>
      </c>
      <c r="C25" s="1"/>
      <c r="D25" s="17">
        <v>70</v>
      </c>
      <c r="E25" s="17">
        <v>22</v>
      </c>
      <c r="F25" s="17">
        <v>25</v>
      </c>
      <c r="G25" s="76">
        <v>0</v>
      </c>
      <c r="H25" s="76">
        <f>2/25</f>
        <v>0.08</v>
      </c>
      <c r="I25" s="76">
        <v>0</v>
      </c>
      <c r="J25" s="76">
        <v>0</v>
      </c>
      <c r="K25" s="76">
        <v>0</v>
      </c>
      <c r="L25" s="76">
        <v>0.08</v>
      </c>
      <c r="M25" s="76">
        <f>12/25</f>
        <v>0.48</v>
      </c>
      <c r="N25" s="76">
        <f>9/25</f>
        <v>0.36</v>
      </c>
      <c r="O25" s="17">
        <v>21</v>
      </c>
      <c r="P25" s="22">
        <f t="shared" si="0"/>
        <v>20.588235294117645</v>
      </c>
      <c r="Q25" s="88">
        <f t="shared" si="1"/>
        <v>1470</v>
      </c>
      <c r="R25" s="88">
        <f t="shared" si="2"/>
        <v>462</v>
      </c>
      <c r="S25" s="88">
        <f t="shared" si="6"/>
        <v>11.022795440911818</v>
      </c>
      <c r="T25" s="88">
        <f t="shared" si="6"/>
        <v>11.901081916537867</v>
      </c>
      <c r="U25" s="89">
        <f t="shared" si="3"/>
        <v>862.94600000000003</v>
      </c>
      <c r="X25" s="90"/>
      <c r="Y25"/>
    </row>
    <row r="26" spans="1:25" ht="151" customHeight="1">
      <c r="A26" s="78">
        <v>20</v>
      </c>
      <c r="B26" s="87" t="s">
        <v>34</v>
      </c>
      <c r="C26" s="1"/>
      <c r="D26" s="17">
        <v>80</v>
      </c>
      <c r="E26" s="17">
        <f>22</f>
        <v>22</v>
      </c>
      <c r="F26" s="17">
        <v>30</v>
      </c>
      <c r="G26" s="76">
        <v>0</v>
      </c>
      <c r="H26" s="76">
        <v>0</v>
      </c>
      <c r="I26" s="76">
        <v>0</v>
      </c>
      <c r="J26" s="76">
        <v>0</v>
      </c>
      <c r="K26" s="76">
        <v>0</v>
      </c>
      <c r="L26" s="76">
        <f>6/30</f>
        <v>0.2</v>
      </c>
      <c r="M26" s="76">
        <f>10/30</f>
        <v>0.33333333333333331</v>
      </c>
      <c r="N26" s="76">
        <f>14/30</f>
        <v>0.46666666666666667</v>
      </c>
      <c r="O26" s="17">
        <v>59</v>
      </c>
      <c r="P26" s="22">
        <f t="shared" si="0"/>
        <v>57.843137254901968</v>
      </c>
      <c r="Q26" s="88">
        <f t="shared" si="1"/>
        <v>4720</v>
      </c>
      <c r="R26" s="88">
        <f t="shared" si="2"/>
        <v>1298</v>
      </c>
      <c r="S26" s="88">
        <f t="shared" si="6"/>
        <v>39.777515590763521</v>
      </c>
      <c r="T26" s="88">
        <f t="shared" si="6"/>
        <v>37.953216374269005</v>
      </c>
      <c r="U26" s="89">
        <f t="shared" si="3"/>
        <v>983.05599999999993</v>
      </c>
      <c r="X26" s="90"/>
      <c r="Y26"/>
    </row>
    <row r="27" spans="1:25" ht="173" customHeight="1">
      <c r="A27" s="78">
        <v>21</v>
      </c>
      <c r="B27" s="94" t="s">
        <v>37</v>
      </c>
      <c r="C27" s="1"/>
      <c r="D27" s="17">
        <v>84</v>
      </c>
      <c r="E27" s="17">
        <v>24</v>
      </c>
      <c r="F27" s="17">
        <v>31</v>
      </c>
      <c r="G27" s="76">
        <v>0</v>
      </c>
      <c r="H27" s="76">
        <v>0</v>
      </c>
      <c r="I27" s="76">
        <v>0</v>
      </c>
      <c r="J27" s="76">
        <v>0</v>
      </c>
      <c r="K27" s="76">
        <v>0</v>
      </c>
      <c r="L27" s="76">
        <f>(31-18)/31</f>
        <v>0.41935483870967744</v>
      </c>
      <c r="M27" s="76">
        <v>0</v>
      </c>
      <c r="N27" s="76">
        <f>18/31</f>
        <v>0.58064516129032262</v>
      </c>
      <c r="O27" s="17">
        <v>0</v>
      </c>
      <c r="P27" s="22">
        <f t="shared" si="0"/>
        <v>0</v>
      </c>
      <c r="Q27" s="88">
        <f t="shared" si="1"/>
        <v>0</v>
      </c>
      <c r="R27" s="88">
        <f t="shared" si="2"/>
        <v>0</v>
      </c>
      <c r="S27" s="88">
        <f t="shared" si="6"/>
        <v>0</v>
      </c>
      <c r="T27" s="88">
        <f t="shared" si="6"/>
        <v>0</v>
      </c>
      <c r="U27" s="89">
        <f t="shared" si="3"/>
        <v>1033.116</v>
      </c>
      <c r="X27" s="90"/>
      <c r="Y27"/>
    </row>
    <row r="28" spans="1:25">
      <c r="B28"/>
      <c r="C28" s="49"/>
      <c r="D28" s="1"/>
      <c r="G28" s="76">
        <f t="shared" ref="G28:N28" si="7">G6*$O$6+G11*$O$11+G12*$O$12+G7*$O$7+G8*$O$8+G9*$O9+G10*$O$10+G13*$O$13+G14*$O$14+G15*$O$15+G16*$O$16+G17*$O$17+G18*$O$18+G19*$O$19+G20*$O$20+G21*$O$21+G22*$O$22+G23*$O$23+G24*$O$24+G25*$O$25+G26*$O$26+G27*$O$27</f>
        <v>2</v>
      </c>
      <c r="H28" s="76">
        <f t="shared" si="7"/>
        <v>6.48</v>
      </c>
      <c r="I28" s="76">
        <f t="shared" si="7"/>
        <v>0</v>
      </c>
      <c r="J28" s="76">
        <f t="shared" si="7"/>
        <v>0</v>
      </c>
      <c r="K28" s="76">
        <f t="shared" si="7"/>
        <v>3</v>
      </c>
      <c r="L28" s="76">
        <f t="shared" si="7"/>
        <v>16.23</v>
      </c>
      <c r="M28" s="76">
        <f t="shared" si="7"/>
        <v>33.413333333333327</v>
      </c>
      <c r="N28" s="76">
        <f t="shared" si="7"/>
        <v>40.876666666666665</v>
      </c>
      <c r="O28" s="88">
        <f>SUM(O6:O27)</f>
        <v>102</v>
      </c>
      <c r="P28" s="22">
        <f>SUM(P6:P27)</f>
        <v>100</v>
      </c>
      <c r="Q28" s="88">
        <f>SUM(Q6:Q27)</f>
        <v>7146</v>
      </c>
      <c r="R28" s="88">
        <f>SUM(R6:R27)</f>
        <v>2122</v>
      </c>
      <c r="X28"/>
      <c r="Y28"/>
    </row>
    <row r="29" spans="1:25">
      <c r="C29" s="49"/>
      <c r="D29" s="1"/>
      <c r="F29" s="95" t="s">
        <v>41</v>
      </c>
      <c r="G29" s="159">
        <f>SUM(G28:N28)</f>
        <v>102</v>
      </c>
      <c r="H29" s="159"/>
      <c r="I29" s="159"/>
      <c r="J29" s="159"/>
      <c r="K29" s="159"/>
      <c r="L29" s="159"/>
      <c r="M29" s="159"/>
      <c r="N29" s="159"/>
      <c r="O29" s="76"/>
    </row>
    <row r="30" spans="1:25">
      <c r="C30" s="49"/>
      <c r="D30" s="1"/>
      <c r="F30" s="95"/>
      <c r="G30" s="84" t="s">
        <v>65</v>
      </c>
      <c r="H30" s="84" t="s">
        <v>50</v>
      </c>
      <c r="I30" s="84" t="s">
        <v>52</v>
      </c>
      <c r="J30" s="84" t="s">
        <v>83</v>
      </c>
      <c r="K30" s="84" t="s">
        <v>51</v>
      </c>
      <c r="L30" s="84" t="s">
        <v>88</v>
      </c>
      <c r="M30" s="84" t="s">
        <v>3</v>
      </c>
      <c r="N30" s="84" t="s">
        <v>4</v>
      </c>
      <c r="O30" s="76"/>
    </row>
    <row r="31" spans="1:25">
      <c r="C31" s="49"/>
      <c r="D31" s="1"/>
      <c r="F31" s="49" t="s">
        <v>141</v>
      </c>
      <c r="G31" s="96">
        <f>G28/$G$29</f>
        <v>1.9607843137254902E-2</v>
      </c>
      <c r="H31" s="96">
        <f>H28/$G$29</f>
        <v>6.352941176470589E-2</v>
      </c>
      <c r="I31" s="96">
        <f t="shared" ref="I31:K31" si="8">I28/$G$29</f>
        <v>0</v>
      </c>
      <c r="J31" s="96">
        <f t="shared" si="8"/>
        <v>0</v>
      </c>
      <c r="K31" s="96">
        <f t="shared" si="8"/>
        <v>2.9411764705882353E-2</v>
      </c>
      <c r="L31" s="96">
        <f>L28/$G$29</f>
        <v>0.15911764705882353</v>
      </c>
      <c r="M31" s="96">
        <f>M28/$G$29</f>
        <v>0.32758169934640519</v>
      </c>
      <c r="N31" s="96">
        <f>N28/$G$29</f>
        <v>0.40075163398692809</v>
      </c>
      <c r="O31" s="76"/>
      <c r="P31" s="70"/>
      <c r="Q31" s="1"/>
      <c r="R31" s="1"/>
      <c r="S31" s="1"/>
      <c r="T31" s="1"/>
      <c r="U31" s="97"/>
    </row>
    <row r="32" spans="1:25">
      <c r="C32" s="49"/>
      <c r="D32" s="1"/>
      <c r="E32" s="1"/>
      <c r="F32" s="98" t="s">
        <v>36</v>
      </c>
      <c r="G32" s="96">
        <f>BPCA_Experimental!G3</f>
        <v>2.0070599778316559E-2</v>
      </c>
      <c r="H32" s="99">
        <f>BPCA_Experimental!G4+BPCA_Experimental!G5</f>
        <v>6.7155269359706268E-2</v>
      </c>
      <c r="I32" s="99"/>
      <c r="J32" s="99"/>
      <c r="K32" s="99">
        <f>BPCA_Experimental!G6</f>
        <v>3.4547196647557121E-2</v>
      </c>
      <c r="L32" s="99">
        <f>BPCA_Experimental!G7</f>
        <v>0.1300441334632115</v>
      </c>
      <c r="M32" s="99">
        <f>BPCA_Experimental!G8</f>
        <v>0.3249240329328747</v>
      </c>
      <c r="N32" s="99">
        <f>BPCA_Experimental!G9</f>
        <v>0.42325876781833377</v>
      </c>
      <c r="O32" s="76"/>
      <c r="Q32" s="1"/>
      <c r="R32" s="1"/>
      <c r="S32" s="1"/>
      <c r="T32" s="1"/>
      <c r="U32" s="97"/>
    </row>
    <row r="33" spans="1:21">
      <c r="C33" s="49"/>
      <c r="D33" s="1"/>
      <c r="E33" s="1"/>
      <c r="F33" s="98" t="s">
        <v>142</v>
      </c>
      <c r="G33" s="96">
        <f>BPCA_Experimental!G14</f>
        <v>8.1329800487500909E-4</v>
      </c>
      <c r="H33" s="99">
        <f>BPCA_Experimental!G15+BPCA_Experimental!G16</f>
        <v>6.6581794382708677E-3</v>
      </c>
      <c r="I33" s="99"/>
      <c r="J33" s="99"/>
      <c r="K33" s="99">
        <f>BPCA_Experimental!G17</f>
        <v>1.4903963010309616E-3</v>
      </c>
      <c r="L33" s="99">
        <f>BPCA_Experimental!G18</f>
        <v>4.8679067158982174E-3</v>
      </c>
      <c r="M33" s="99">
        <f>BPCA_Experimental!G19</f>
        <v>7.3795602804227027E-3</v>
      </c>
      <c r="N33" s="99">
        <f>BPCA_Experimental!G20</f>
        <v>5.8422164928758347E-3</v>
      </c>
      <c r="O33" s="76"/>
      <c r="T33" s="1"/>
      <c r="U33" s="97"/>
    </row>
    <row r="34" spans="1:21">
      <c r="F34" s="100" t="s">
        <v>42</v>
      </c>
      <c r="G34" s="76">
        <f>ABS(G31-G32)/G32</f>
        <v>2.3056443064626293E-2</v>
      </c>
      <c r="H34" s="76">
        <f>ABS(H31-H32)/H32</f>
        <v>5.3992153252771014E-2</v>
      </c>
      <c r="K34" s="76">
        <f>ABS(K31-K32)/K32</f>
        <v>0.14864974411861293</v>
      </c>
      <c r="L34" s="76">
        <f>ABS(L31-L32)/L32</f>
        <v>0.22356651408528708</v>
      </c>
      <c r="M34" s="76">
        <f>ABS(M31-M32)/M32</f>
        <v>8.1793469985629898E-3</v>
      </c>
      <c r="N34" s="76">
        <f>ABS(N31-N32)/N32</f>
        <v>5.3175824206590165E-2</v>
      </c>
      <c r="O34" s="76"/>
    </row>
    <row r="35" spans="1:21">
      <c r="E35" s="101"/>
      <c r="F35" s="98"/>
      <c r="O35" s="76"/>
    </row>
    <row r="36" spans="1:21">
      <c r="D36" s="1"/>
      <c r="E36" s="77"/>
      <c r="O36" s="76"/>
    </row>
    <row r="37" spans="1:21" ht="16" customHeight="1">
      <c r="D37" s="1"/>
      <c r="E37" s="77"/>
      <c r="F37" s="103" t="s">
        <v>127</v>
      </c>
      <c r="G37" s="76">
        <f>BPCA_Experimental!G23</f>
        <v>0.3664855234279874</v>
      </c>
      <c r="H37" s="156" t="s">
        <v>132</v>
      </c>
      <c r="I37" s="156"/>
      <c r="J37" s="156"/>
      <c r="K37" s="156"/>
      <c r="L37" s="156"/>
      <c r="M37" s="156"/>
      <c r="N37" s="156"/>
      <c r="O37" s="76"/>
    </row>
    <row r="38" spans="1:21" ht="16" customHeight="1">
      <c r="D38" s="1"/>
      <c r="E38" s="77"/>
      <c r="F38" s="103" t="s">
        <v>133</v>
      </c>
      <c r="G38" s="76">
        <f>G37*G43</f>
        <v>0.30051812921094967</v>
      </c>
      <c r="H38" s="156"/>
      <c r="I38" s="156"/>
      <c r="J38" s="156"/>
      <c r="K38" s="156"/>
      <c r="L38" s="156"/>
      <c r="M38" s="156"/>
      <c r="N38" s="156"/>
      <c r="O38" s="76"/>
    </row>
    <row r="39" spans="1:21" ht="13" customHeight="1">
      <c r="D39" s="104"/>
      <c r="E39" s="76"/>
      <c r="F39" s="103" t="s">
        <v>130</v>
      </c>
      <c r="G39" s="76">
        <f>R28/Q28</f>
        <v>0.29694934228939268</v>
      </c>
      <c r="H39" s="156"/>
      <c r="I39" s="156"/>
      <c r="J39" s="156"/>
      <c r="K39" s="156"/>
      <c r="L39" s="156"/>
      <c r="M39" s="156"/>
      <c r="N39" s="156"/>
      <c r="O39" s="76"/>
      <c r="Q39" s="96"/>
    </row>
    <row r="40" spans="1:21">
      <c r="D40" s="104"/>
      <c r="F40" s="103" t="s">
        <v>42</v>
      </c>
      <c r="G40" s="76">
        <f>G38-G39</f>
        <v>3.5687869215569878E-3</v>
      </c>
      <c r="H40" s="156"/>
      <c r="I40" s="156"/>
      <c r="J40" s="156"/>
      <c r="K40" s="156"/>
      <c r="L40" s="156"/>
      <c r="M40" s="156"/>
      <c r="N40" s="156"/>
      <c r="O40" s="76"/>
    </row>
    <row r="41" spans="1:21">
      <c r="D41" s="104"/>
      <c r="F41" s="1"/>
      <c r="G41" s="1"/>
      <c r="O41" s="76"/>
    </row>
    <row r="42" spans="1:21">
      <c r="D42" s="104"/>
      <c r="F42" s="105" t="s">
        <v>131</v>
      </c>
      <c r="G42" s="106">
        <v>10000</v>
      </c>
      <c r="O42" s="76"/>
      <c r="T42" s="76"/>
    </row>
    <row r="43" spans="1:21" ht="16" customHeight="1">
      <c r="D43" s="7"/>
      <c r="F43" s="98" t="s">
        <v>43</v>
      </c>
      <c r="G43" s="96">
        <f>BPCA_Experimental!G22</f>
        <v>0.82</v>
      </c>
      <c r="H43" s="156" t="s">
        <v>129</v>
      </c>
      <c r="I43" s="156"/>
      <c r="J43" s="156"/>
      <c r="K43" s="156"/>
      <c r="L43" s="156"/>
      <c r="M43" s="156"/>
      <c r="N43" s="156"/>
      <c r="O43" s="76"/>
      <c r="Q43" s="96"/>
    </row>
    <row r="44" spans="1:21">
      <c r="E44" s="77"/>
      <c r="F44" s="98" t="s">
        <v>128</v>
      </c>
      <c r="G44" s="96">
        <f>Q28/(G42-R28)</f>
        <v>0.90708301599390706</v>
      </c>
      <c r="H44" s="156"/>
      <c r="I44" s="156"/>
      <c r="J44" s="156"/>
      <c r="K44" s="156"/>
      <c r="L44" s="156"/>
      <c r="M44" s="156"/>
      <c r="N44" s="156"/>
      <c r="O44" s="76"/>
      <c r="Q44" s="96"/>
    </row>
    <row r="45" spans="1:21">
      <c r="H45" s="50"/>
      <c r="I45" s="50"/>
      <c r="J45" s="50"/>
      <c r="K45" s="50"/>
      <c r="L45" s="50"/>
      <c r="M45" s="50"/>
      <c r="N45" s="50"/>
      <c r="O45" s="76"/>
      <c r="Q45" s="96"/>
    </row>
    <row r="46" spans="1:21">
      <c r="E46" s="1"/>
      <c r="G46" s="107"/>
      <c r="H46" s="107"/>
      <c r="I46" s="107"/>
      <c r="J46" s="107"/>
      <c r="K46" s="107"/>
      <c r="L46" s="107"/>
      <c r="M46" s="107"/>
      <c r="N46" s="107"/>
      <c r="O46" s="76"/>
      <c r="P46" s="108"/>
    </row>
    <row r="47" spans="1:21">
      <c r="A47" s="109"/>
      <c r="B47" s="109"/>
      <c r="C47" s="109"/>
      <c r="D47" s="109"/>
      <c r="E47" s="109"/>
      <c r="F47" s="109"/>
      <c r="O47" s="76"/>
      <c r="P47" s="110"/>
      <c r="Q47" s="109"/>
      <c r="R47" s="109"/>
      <c r="S47" s="109"/>
      <c r="T47" s="109"/>
      <c r="U47" s="111"/>
    </row>
    <row r="48" spans="1:21">
      <c r="A48" s="112"/>
      <c r="B48" s="7"/>
      <c r="C48" s="113"/>
      <c r="D48" s="7"/>
      <c r="E48" s="7"/>
      <c r="F48" s="7"/>
      <c r="H48" s="99"/>
      <c r="I48" s="99"/>
      <c r="J48" s="99"/>
      <c r="K48" s="99"/>
      <c r="L48" s="99"/>
      <c r="M48" s="99"/>
      <c r="N48" s="99"/>
      <c r="O48" s="76"/>
      <c r="Q48" s="114"/>
      <c r="R48" s="114"/>
      <c r="S48" s="114"/>
      <c r="T48" s="114"/>
      <c r="U48" s="86"/>
    </row>
    <row r="49" spans="1:30">
      <c r="O49" s="76"/>
      <c r="P49" s="96"/>
      <c r="S49" s="17"/>
      <c r="T49" s="17"/>
      <c r="U49" s="17"/>
      <c r="V49" s="17"/>
      <c r="W49" s="17"/>
    </row>
    <row r="50" spans="1:30">
      <c r="O50" s="76"/>
      <c r="P50" s="96"/>
      <c r="Q50" s="115"/>
    </row>
    <row r="51" spans="1:30" s="22" customFormat="1">
      <c r="A51" s="78"/>
      <c r="B51" s="17"/>
      <c r="C51" s="93"/>
      <c r="D51" s="17"/>
      <c r="E51" s="17"/>
      <c r="F51" s="17"/>
      <c r="G51" s="76"/>
      <c r="H51" s="76"/>
      <c r="I51" s="76"/>
      <c r="J51" s="76"/>
      <c r="K51" s="76"/>
      <c r="L51" s="76"/>
      <c r="M51" s="76"/>
      <c r="N51" s="76"/>
      <c r="O51" s="76"/>
      <c r="Q51" s="17"/>
      <c r="R51" s="17"/>
      <c r="S51" s="88"/>
      <c r="T51" s="88"/>
      <c r="U51" s="89"/>
      <c r="V51" s="1"/>
      <c r="W51" s="1"/>
      <c r="X51" s="1"/>
      <c r="Y51" s="1"/>
      <c r="Z51" s="1"/>
      <c r="AA51" s="1"/>
      <c r="AB51" s="1"/>
      <c r="AC51" s="1"/>
      <c r="AD51" s="1"/>
    </row>
    <row r="52" spans="1:30" s="22" customFormat="1">
      <c r="A52" s="78"/>
      <c r="B52" s="17"/>
      <c r="C52" s="93"/>
      <c r="D52" s="17"/>
      <c r="E52" s="17"/>
      <c r="F52" s="17"/>
      <c r="G52" s="76"/>
      <c r="H52" s="76"/>
      <c r="I52" s="76"/>
      <c r="J52" s="76"/>
      <c r="K52" s="76"/>
      <c r="L52" s="76"/>
      <c r="M52" s="76"/>
      <c r="N52" s="76"/>
      <c r="O52" s="76"/>
      <c r="Q52" s="17"/>
      <c r="R52" s="17"/>
      <c r="S52" s="88"/>
      <c r="T52" s="88"/>
      <c r="U52" s="89"/>
      <c r="V52" s="1"/>
      <c r="W52" s="1"/>
      <c r="X52" s="1"/>
      <c r="Y52" s="1"/>
      <c r="Z52" s="1"/>
      <c r="AA52" s="1"/>
      <c r="AB52" s="1"/>
      <c r="AC52" s="1"/>
      <c r="AD52" s="1"/>
    </row>
    <row r="53" spans="1:30" s="22" customFormat="1">
      <c r="A53" s="78"/>
      <c r="B53" s="17"/>
      <c r="C53" s="93"/>
      <c r="D53" s="17"/>
      <c r="E53" s="17"/>
      <c r="F53" s="17"/>
      <c r="G53" s="76"/>
      <c r="H53" s="76"/>
      <c r="I53" s="76"/>
      <c r="J53" s="76"/>
      <c r="K53" s="76"/>
      <c r="L53" s="76"/>
      <c r="M53" s="76"/>
      <c r="N53" s="76"/>
      <c r="O53" s="76"/>
      <c r="Q53" s="17"/>
      <c r="R53" s="17"/>
      <c r="S53" s="88"/>
      <c r="T53" s="88"/>
      <c r="U53" s="89"/>
      <c r="V53" s="1"/>
      <c r="W53" s="1"/>
      <c r="X53" s="1"/>
      <c r="Y53" s="1"/>
      <c r="Z53" s="1"/>
      <c r="AA53" s="1"/>
      <c r="AB53" s="1"/>
      <c r="AC53" s="1"/>
      <c r="AD53" s="1"/>
    </row>
    <row r="54" spans="1:30" s="22" customFormat="1">
      <c r="A54" s="78"/>
      <c r="B54" s="17"/>
      <c r="C54" s="93"/>
      <c r="D54" s="17"/>
      <c r="E54" s="17"/>
      <c r="F54" s="17"/>
      <c r="G54" s="76"/>
      <c r="H54" s="50"/>
      <c r="I54" s="50"/>
      <c r="J54" s="50"/>
      <c r="K54" s="50"/>
      <c r="L54" s="50"/>
      <c r="M54" s="50"/>
      <c r="N54" s="50"/>
      <c r="O54" s="76"/>
      <c r="Q54" s="17"/>
      <c r="R54" s="17"/>
      <c r="S54" s="88"/>
      <c r="T54" s="88"/>
      <c r="U54" s="89"/>
      <c r="V54" s="1"/>
      <c r="W54" s="1"/>
      <c r="X54" s="1"/>
      <c r="Y54" s="1"/>
      <c r="Z54" s="1"/>
      <c r="AA54" s="1"/>
      <c r="AB54" s="1"/>
      <c r="AC54" s="1"/>
      <c r="AD54" s="1"/>
    </row>
    <row r="55" spans="1:30" s="22" customFormat="1">
      <c r="A55" s="78"/>
      <c r="B55" s="17"/>
      <c r="C55" s="93"/>
      <c r="D55" s="17"/>
      <c r="E55" s="17"/>
      <c r="F55" s="17"/>
      <c r="G55" s="76"/>
      <c r="H55" s="76"/>
      <c r="I55" s="76"/>
      <c r="J55" s="76"/>
      <c r="K55" s="76"/>
      <c r="L55" s="76"/>
      <c r="M55" s="76"/>
      <c r="N55" s="76"/>
      <c r="O55" s="76"/>
      <c r="Q55" s="17"/>
      <c r="R55" s="17"/>
      <c r="S55" s="88"/>
      <c r="T55" s="88"/>
      <c r="U55" s="89"/>
      <c r="V55" s="1"/>
      <c r="W55" s="1"/>
      <c r="X55" s="1"/>
      <c r="Y55" s="1"/>
      <c r="Z55" s="1"/>
      <c r="AA55" s="1"/>
      <c r="AB55" s="1"/>
      <c r="AC55" s="1"/>
      <c r="AD55" s="1"/>
    </row>
    <row r="57" spans="1:30" s="22" customFormat="1">
      <c r="A57" s="78"/>
      <c r="B57" s="17"/>
      <c r="C57" s="93"/>
      <c r="D57" s="17"/>
      <c r="E57" s="17"/>
      <c r="F57" s="17"/>
      <c r="G57" s="76"/>
      <c r="H57" s="76"/>
      <c r="I57" s="76"/>
      <c r="J57" s="76"/>
      <c r="K57" s="76"/>
      <c r="L57" s="76"/>
      <c r="M57" s="76"/>
      <c r="N57" s="76"/>
      <c r="O57" s="76"/>
      <c r="Q57" s="17"/>
      <c r="R57" s="17"/>
      <c r="S57" s="88"/>
      <c r="T57" s="88"/>
      <c r="U57" s="89"/>
      <c r="V57" s="1"/>
      <c r="W57" s="1"/>
      <c r="X57" s="1"/>
      <c r="Y57" s="1"/>
      <c r="Z57" s="1"/>
      <c r="AA57" s="1"/>
      <c r="AB57" s="1"/>
      <c r="AC57" s="1"/>
      <c r="AD57" s="1"/>
    </row>
    <row r="58" spans="1:30" s="22" customFormat="1">
      <c r="A58" s="78"/>
      <c r="B58" s="17"/>
      <c r="C58" s="93"/>
      <c r="D58" s="17"/>
      <c r="E58" s="17"/>
      <c r="F58" s="17"/>
      <c r="G58" s="76"/>
      <c r="H58" s="76"/>
      <c r="I58" s="76"/>
      <c r="J58" s="76"/>
      <c r="K58" s="76"/>
      <c r="L58" s="76"/>
      <c r="M58" s="76"/>
      <c r="N58" s="76"/>
      <c r="O58" s="76"/>
      <c r="Q58" s="17"/>
      <c r="R58" s="17"/>
      <c r="S58" s="88"/>
      <c r="T58" s="88"/>
      <c r="U58" s="89"/>
      <c r="V58" s="1"/>
      <c r="W58" s="1"/>
      <c r="X58" s="1"/>
      <c r="Y58" s="1"/>
      <c r="Z58" s="1"/>
      <c r="AA58" s="1"/>
      <c r="AB58" s="1"/>
      <c r="AC58" s="1"/>
      <c r="AD58" s="1"/>
    </row>
    <row r="59" spans="1:30" s="22" customFormat="1">
      <c r="A59" s="78"/>
      <c r="B59" s="17"/>
      <c r="C59" s="93"/>
      <c r="D59" s="17"/>
      <c r="E59" s="17"/>
      <c r="F59" s="17"/>
      <c r="G59" s="76"/>
      <c r="H59" s="76"/>
      <c r="I59" s="76"/>
      <c r="J59" s="76"/>
      <c r="K59" s="76"/>
      <c r="L59" s="76"/>
      <c r="M59" s="76"/>
      <c r="N59" s="76"/>
      <c r="O59" s="76"/>
      <c r="Q59" s="17"/>
      <c r="R59" s="17"/>
      <c r="S59" s="88"/>
      <c r="T59" s="88"/>
      <c r="U59" s="89"/>
      <c r="V59" s="1"/>
      <c r="W59" s="1"/>
      <c r="X59" s="1"/>
      <c r="Y59" s="1"/>
      <c r="Z59" s="1"/>
      <c r="AA59" s="1"/>
      <c r="AB59" s="1"/>
      <c r="AC59" s="1"/>
      <c r="AD59" s="1"/>
    </row>
    <row r="60" spans="1:30" s="22" customFormat="1">
      <c r="A60" s="78"/>
      <c r="B60" s="17"/>
      <c r="C60" s="93"/>
      <c r="D60" s="17"/>
      <c r="E60" s="17"/>
      <c r="F60" s="17"/>
      <c r="G60" s="76"/>
      <c r="H60" s="76"/>
      <c r="I60" s="76"/>
      <c r="J60" s="76"/>
      <c r="K60" s="76"/>
      <c r="L60" s="76"/>
      <c r="M60" s="76"/>
      <c r="N60" s="76"/>
      <c r="O60" s="76"/>
      <c r="Q60" s="17"/>
      <c r="R60" s="17"/>
      <c r="S60" s="88"/>
      <c r="T60" s="88"/>
      <c r="U60" s="89"/>
      <c r="V60" s="1"/>
      <c r="W60" s="1"/>
      <c r="X60" s="1"/>
      <c r="Y60" s="1"/>
      <c r="Z60" s="1"/>
      <c r="AA60" s="1"/>
      <c r="AB60" s="1"/>
      <c r="AC60" s="1"/>
      <c r="AD60" s="1"/>
    </row>
    <row r="61" spans="1:30" s="22" customFormat="1">
      <c r="A61" s="78"/>
      <c r="B61" s="17"/>
      <c r="C61" s="93"/>
      <c r="D61" s="17"/>
      <c r="E61" s="17"/>
      <c r="F61" s="17"/>
      <c r="G61" s="76"/>
      <c r="H61" s="76"/>
      <c r="I61" s="76"/>
      <c r="J61" s="76"/>
      <c r="K61" s="76"/>
      <c r="L61" s="76"/>
      <c r="M61" s="76"/>
      <c r="N61" s="76"/>
      <c r="O61" s="76"/>
      <c r="Q61" s="17"/>
      <c r="R61" s="17"/>
      <c r="S61" s="88"/>
      <c r="T61" s="88"/>
      <c r="U61" s="89"/>
      <c r="V61" s="1"/>
      <c r="W61" s="1"/>
      <c r="X61" s="1"/>
      <c r="Y61" s="1"/>
      <c r="Z61" s="1"/>
      <c r="AA61" s="1"/>
      <c r="AB61" s="1"/>
      <c r="AC61" s="1"/>
      <c r="AD61" s="1"/>
    </row>
    <row r="62" spans="1:30" s="22" customFormat="1">
      <c r="A62" s="78"/>
      <c r="B62" s="17"/>
      <c r="C62" s="93"/>
      <c r="D62" s="17"/>
      <c r="E62" s="17"/>
      <c r="F62" s="17"/>
      <c r="G62" s="76"/>
      <c r="H62" s="76"/>
      <c r="I62" s="76"/>
      <c r="J62" s="76"/>
      <c r="K62" s="76"/>
      <c r="L62" s="76"/>
      <c r="M62" s="76"/>
      <c r="N62" s="76"/>
      <c r="O62" s="76"/>
      <c r="Q62" s="17"/>
      <c r="R62" s="17"/>
      <c r="S62" s="88"/>
      <c r="T62" s="88"/>
      <c r="U62" s="89"/>
      <c r="V62" s="1"/>
      <c r="W62" s="1"/>
      <c r="X62" s="1"/>
      <c r="Y62" s="1"/>
      <c r="Z62" s="1"/>
      <c r="AA62" s="1"/>
      <c r="AB62" s="1"/>
      <c r="AC62" s="1"/>
      <c r="AD62" s="1"/>
    </row>
    <row r="63" spans="1:30" s="22" customFormat="1">
      <c r="A63" s="78"/>
      <c r="B63" s="17"/>
      <c r="C63" s="93"/>
      <c r="D63" s="88"/>
      <c r="E63" s="88"/>
      <c r="F63" s="17"/>
      <c r="G63" s="76"/>
      <c r="H63" s="76"/>
      <c r="I63" s="76"/>
      <c r="J63" s="76"/>
      <c r="K63" s="76"/>
      <c r="L63" s="76"/>
      <c r="M63" s="76"/>
      <c r="N63" s="76"/>
      <c r="O63" s="76"/>
      <c r="Q63" s="17"/>
      <c r="R63" s="17"/>
      <c r="S63" s="88"/>
      <c r="T63" s="88"/>
      <c r="U63" s="89"/>
      <c r="V63" s="1"/>
      <c r="W63" s="1"/>
      <c r="X63" s="1"/>
      <c r="Y63" s="1"/>
      <c r="Z63" s="1"/>
      <c r="AA63" s="1"/>
      <c r="AB63" s="1"/>
      <c r="AC63" s="1"/>
      <c r="AD63" s="1"/>
    </row>
    <row r="64" spans="1:30" s="22" customFormat="1">
      <c r="A64" s="78"/>
      <c r="B64" s="17"/>
      <c r="C64" s="93"/>
      <c r="D64" s="88"/>
      <c r="E64" s="88"/>
      <c r="F64" s="17"/>
      <c r="G64" s="76"/>
      <c r="H64" s="76"/>
      <c r="I64" s="76"/>
      <c r="J64" s="76"/>
      <c r="K64" s="76"/>
      <c r="L64" s="76"/>
      <c r="M64" s="76"/>
      <c r="N64" s="76"/>
      <c r="O64" s="76"/>
      <c r="Q64" s="17"/>
      <c r="R64" s="17"/>
      <c r="S64" s="88"/>
      <c r="T64" s="88"/>
      <c r="U64" s="89"/>
      <c r="V64" s="1"/>
      <c r="W64" s="1"/>
      <c r="X64" s="1"/>
      <c r="Y64" s="1"/>
      <c r="Z64" s="1"/>
      <c r="AA64" s="1"/>
      <c r="AB64" s="1"/>
      <c r="AC64" s="1"/>
      <c r="AD64" s="1"/>
    </row>
    <row r="65" spans="1:30" s="22" customFormat="1">
      <c r="A65" s="78"/>
      <c r="B65" s="17"/>
      <c r="C65" s="93"/>
      <c r="D65" s="17"/>
      <c r="E65" s="17"/>
      <c r="F65" s="17"/>
      <c r="G65" s="76"/>
      <c r="H65" s="76"/>
      <c r="I65" s="76"/>
      <c r="J65" s="76"/>
      <c r="K65" s="76"/>
      <c r="L65" s="76"/>
      <c r="M65" s="76"/>
      <c r="N65" s="76"/>
      <c r="O65" s="76"/>
      <c r="Q65" s="17"/>
      <c r="R65" s="17"/>
      <c r="S65" s="88"/>
      <c r="T65" s="88"/>
      <c r="U65" s="89"/>
      <c r="V65" s="1"/>
      <c r="W65" s="1"/>
      <c r="X65" s="1"/>
      <c r="Y65" s="1"/>
      <c r="Z65" s="1"/>
      <c r="AA65" s="1"/>
      <c r="AB65" s="1"/>
      <c r="AC65" s="1"/>
      <c r="AD65" s="1"/>
    </row>
    <row r="66" spans="1:30" s="22" customFormat="1">
      <c r="A66" s="78"/>
      <c r="B66" s="17"/>
      <c r="C66" s="93"/>
      <c r="D66" s="17"/>
      <c r="E66" s="17"/>
      <c r="F66" s="17"/>
      <c r="G66" s="76"/>
      <c r="H66" s="76"/>
      <c r="I66" s="76"/>
      <c r="J66" s="76"/>
      <c r="K66" s="76"/>
      <c r="L66" s="76"/>
      <c r="M66" s="76"/>
      <c r="N66" s="76"/>
      <c r="O66" s="76"/>
      <c r="Q66" s="17"/>
      <c r="R66" s="17"/>
      <c r="S66" s="88"/>
      <c r="T66" s="88"/>
      <c r="U66" s="89"/>
      <c r="V66" s="1"/>
      <c r="W66" s="1"/>
      <c r="X66" s="1"/>
      <c r="Y66" s="1"/>
      <c r="Z66" s="1"/>
      <c r="AA66" s="1"/>
      <c r="AB66" s="1"/>
      <c r="AC66" s="1"/>
      <c r="AD66" s="1"/>
    </row>
    <row r="67" spans="1:30" s="22" customFormat="1">
      <c r="A67" s="78"/>
      <c r="B67" s="17"/>
      <c r="C67" s="93"/>
      <c r="D67" s="14"/>
      <c r="E67" s="116"/>
      <c r="F67" s="17"/>
      <c r="G67" s="76"/>
      <c r="H67" s="76"/>
      <c r="I67" s="76"/>
      <c r="J67" s="76"/>
      <c r="K67" s="76"/>
      <c r="L67" s="76"/>
      <c r="M67" s="76"/>
      <c r="N67" s="76"/>
      <c r="O67" s="76"/>
      <c r="Q67" s="17"/>
      <c r="R67" s="17"/>
      <c r="S67" s="88"/>
      <c r="T67" s="88"/>
      <c r="U67" s="89"/>
      <c r="V67" s="1"/>
      <c r="W67" s="1"/>
      <c r="X67" s="1"/>
      <c r="Y67" s="1"/>
      <c r="Z67" s="1"/>
      <c r="AA67" s="1"/>
      <c r="AB67" s="1"/>
      <c r="AC67" s="1"/>
      <c r="AD67" s="1"/>
    </row>
    <row r="68" spans="1:30" s="22" customFormat="1">
      <c r="A68" s="78"/>
      <c r="B68" s="17"/>
      <c r="C68" s="93"/>
      <c r="D68" s="14"/>
      <c r="E68" s="116"/>
      <c r="F68" s="17"/>
      <c r="G68" s="76"/>
      <c r="H68" s="76"/>
      <c r="I68" s="76"/>
      <c r="J68" s="76"/>
      <c r="K68" s="76"/>
      <c r="L68" s="76"/>
      <c r="M68" s="76"/>
      <c r="N68" s="76"/>
      <c r="O68" s="17"/>
      <c r="Q68" s="17"/>
      <c r="R68" s="17"/>
      <c r="S68" s="88"/>
      <c r="T68" s="88"/>
      <c r="U68" s="89"/>
      <c r="V68" s="1"/>
      <c r="W68" s="1"/>
      <c r="X68" s="1"/>
      <c r="Y68" s="1"/>
      <c r="Z68" s="1"/>
      <c r="AA68" s="1"/>
      <c r="AB68" s="1"/>
      <c r="AC68" s="1"/>
      <c r="AD68" s="1"/>
    </row>
    <row r="69" spans="1:30" s="22" customFormat="1">
      <c r="A69" s="78"/>
      <c r="B69" s="17"/>
      <c r="C69" s="93"/>
      <c r="D69" s="14"/>
      <c r="E69" s="116"/>
      <c r="F69" s="17"/>
      <c r="G69" s="76"/>
      <c r="H69" s="76"/>
      <c r="I69" s="76"/>
      <c r="J69" s="76"/>
      <c r="K69" s="76"/>
      <c r="L69" s="76"/>
      <c r="M69" s="76"/>
      <c r="N69" s="76"/>
      <c r="O69" s="17"/>
      <c r="Q69" s="17"/>
      <c r="R69" s="17"/>
      <c r="S69" s="88"/>
      <c r="T69" s="88"/>
      <c r="U69" s="89"/>
      <c r="V69" s="1"/>
      <c r="W69" s="1"/>
      <c r="X69" s="1"/>
      <c r="Y69" s="1"/>
      <c r="Z69" s="1"/>
      <c r="AA69" s="1"/>
      <c r="AB69" s="1"/>
      <c r="AC69" s="1"/>
      <c r="AD69" s="1"/>
    </row>
    <row r="70" spans="1:30" s="22" customFormat="1">
      <c r="A70" s="78"/>
      <c r="B70" s="17"/>
      <c r="C70" s="93"/>
      <c r="D70" s="14"/>
      <c r="E70" s="116"/>
      <c r="F70" s="17"/>
      <c r="G70" s="76"/>
      <c r="H70" s="76"/>
      <c r="I70" s="76"/>
      <c r="J70" s="76"/>
      <c r="K70" s="76"/>
      <c r="L70" s="76"/>
      <c r="M70" s="76"/>
      <c r="N70" s="76"/>
      <c r="O70" s="17"/>
      <c r="Q70" s="17"/>
      <c r="R70" s="17"/>
      <c r="S70" s="88"/>
      <c r="T70" s="88"/>
      <c r="U70" s="89"/>
      <c r="V70" s="1"/>
      <c r="W70" s="1"/>
      <c r="X70" s="1"/>
      <c r="Y70" s="1"/>
      <c r="Z70" s="1"/>
      <c r="AA70" s="1"/>
      <c r="AB70" s="1"/>
      <c r="AC70" s="1"/>
      <c r="AD70" s="1"/>
    </row>
    <row r="71" spans="1:30" s="22" customFormat="1">
      <c r="A71" s="78"/>
      <c r="B71" s="17"/>
      <c r="C71" s="93"/>
      <c r="D71" s="116"/>
      <c r="E71" s="116"/>
      <c r="F71" s="17"/>
      <c r="G71" s="76"/>
      <c r="H71" s="76"/>
      <c r="I71" s="76"/>
      <c r="J71" s="76"/>
      <c r="K71" s="76"/>
      <c r="L71" s="76"/>
      <c r="M71" s="76"/>
      <c r="N71" s="76"/>
      <c r="O71" s="17"/>
      <c r="Q71" s="17"/>
      <c r="R71" s="17"/>
      <c r="S71" s="88"/>
      <c r="T71" s="88"/>
      <c r="U71" s="89"/>
      <c r="V71" s="1"/>
      <c r="W71" s="1"/>
      <c r="X71" s="1"/>
      <c r="Y71" s="1"/>
      <c r="Z71" s="1"/>
      <c r="AA71" s="1"/>
      <c r="AB71" s="1"/>
      <c r="AC71" s="1"/>
      <c r="AD71" s="1"/>
    </row>
  </sheetData>
  <mergeCells count="6">
    <mergeCell ref="H43:N44"/>
    <mergeCell ref="B2:U2"/>
    <mergeCell ref="A4:U4"/>
    <mergeCell ref="X5:AD5"/>
    <mergeCell ref="G29:N29"/>
    <mergeCell ref="H37:N40"/>
  </mergeCells>
  <hyperlinks>
    <hyperlink ref="B7" r:id="rId1" display="dibenzofuran_Si" xr:uid="{3E3B70A7-447C-A24C-BDE8-C114B28EC0DC}"/>
    <hyperlink ref="B8" r:id="rId2" display="phenalene" xr:uid="{003F65A3-69A8-AF47-AC35-4D4CE6E83D88}"/>
    <hyperlink ref="B9" r:id="rId3" display="phenanthrene" xr:uid="{59AAEAB0-2EB3-C847-9FBE-4FEBC6612756}"/>
    <hyperlink ref="B10" r:id="rId4" display="anthracene" xr:uid="{D4496565-85A7-724F-9247-B1207E16DECA}"/>
    <hyperlink ref="B13" r:id="rId5" display="pyrene" xr:uid="{C42EE7BA-42EE-7446-8EA9-F3E19C123BF8}"/>
    <hyperlink ref="B15" r:id="rId6" display="benzo[c]fluorene" xr:uid="{1FCCEC83-1C6C-5545-AF9C-A7BDF003A9CD}"/>
    <hyperlink ref="B18" r:id="rId7" display="coronene" xr:uid="{63022520-B4AF-114C-B001-35677900A9FF}"/>
    <hyperlink ref="B14" r:id="rId8" display="chrysene" xr:uid="{89364B2D-5A37-4C48-B77B-E2996C33400B}"/>
    <hyperlink ref="B16" r:id="rId9" display="Benz[e]acephenanthrylene" xr:uid="{9D62B305-75E5-634B-B17B-9DC8680D450C}"/>
    <hyperlink ref="B6" r:id="rId10" display="benzene" xr:uid="{DE6A203A-EE9E-514F-80B0-9FCD3D18B109}"/>
    <hyperlink ref="B17" r:id="rId11" display="benzo_b_fluorene" xr:uid="{55FC4706-C85D-6D4D-8F06-AD902C2A6DA6}"/>
    <hyperlink ref="B19" r:id="rId12" xr:uid="{A29B3DAF-FD93-0044-9919-43CB30792F98}"/>
    <hyperlink ref="B20" r:id="rId13" display="Benzo_a_pyrene" xr:uid="{10AC8397-38C9-5541-A4FF-F9EEC400DDC1}"/>
    <hyperlink ref="B21" r:id="rId14" xr:uid="{A041AC36-E2AF-DB43-BF2C-64FB8C3B3FA1}"/>
    <hyperlink ref="B22" r:id="rId15" xr:uid="{3F2ACFCC-A791-ED44-8874-BCF4D368830C}"/>
    <hyperlink ref="B23" r:id="rId16" xr:uid="{38D831BA-739A-3B4F-B096-5B66492C6D08}"/>
    <hyperlink ref="B25" r:id="rId17" xr:uid="{3BE00B4D-5B0C-3B48-B728-D4CBD029A7EC}"/>
    <hyperlink ref="B26" r:id="rId18" location="section=InChIKey" xr:uid="{4593AA13-CF21-5B43-BAF0-F218426EC905}"/>
    <hyperlink ref="B27" r:id="rId19" xr:uid="{5CBADB23-DC3F-9F41-A310-7A9082462EA3}"/>
  </hyperlinks>
  <pageMargins left="0.7" right="0.7" top="0.75" bottom="0.75" header="0.3" footer="0.3"/>
  <drawing r:id="rId2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D493E-878E-1A47-A8B4-6F1747A64D4E}">
  <sheetPr codeName="Sheet8"/>
  <dimension ref="A2:AD76"/>
  <sheetViews>
    <sheetView topLeftCell="A4" zoomScale="75" zoomScaleNormal="100" workbookViewId="0">
      <selection activeCell="AD4" sqref="AD1:AD1048576"/>
    </sheetView>
  </sheetViews>
  <sheetFormatPr baseColWidth="10" defaultRowHeight="16"/>
  <cols>
    <col min="1" max="1" width="8.6640625" style="78" customWidth="1"/>
    <col min="2" max="2" width="17" style="17" bestFit="1" customWidth="1"/>
    <col min="3" max="3" width="32.5" style="93" customWidth="1"/>
    <col min="4" max="4" width="31.83203125" style="17" bestFit="1" customWidth="1"/>
    <col min="5" max="5" width="10.83203125" style="17" customWidth="1"/>
    <col min="6" max="6" width="20.5" style="17" bestFit="1" customWidth="1"/>
    <col min="7" max="7" width="9.6640625" style="76" bestFit="1" customWidth="1"/>
    <col min="8" max="8" width="8.6640625" style="76" bestFit="1" customWidth="1"/>
    <col min="9" max="10" width="8.6640625" style="76" hidden="1" customWidth="1"/>
    <col min="11" max="11" width="10.1640625" style="76" customWidth="1"/>
    <col min="12" max="12" width="10.5" style="76" customWidth="1"/>
    <col min="13" max="13" width="9.83203125" style="76" customWidth="1"/>
    <col min="14" max="14" width="9.6640625" style="76" customWidth="1"/>
    <col min="15" max="15" width="17.33203125" style="17" customWidth="1"/>
    <col min="16" max="16" width="16.33203125" style="22" customWidth="1"/>
    <col min="17" max="18" width="10.83203125" style="17"/>
    <col min="19" max="19" width="10.83203125" style="88"/>
    <col min="20" max="20" width="12.83203125" style="88" customWidth="1"/>
    <col min="21" max="21" width="10.83203125" style="89"/>
    <col min="22" max="16384" width="10.83203125" style="1"/>
  </cols>
  <sheetData>
    <row r="2" spans="1:30">
      <c r="B2" s="157" t="s">
        <v>121</v>
      </c>
      <c r="C2" s="157"/>
      <c r="D2" s="157"/>
      <c r="E2" s="157"/>
      <c r="F2" s="157"/>
      <c r="G2" s="157"/>
      <c r="H2" s="157"/>
      <c r="I2" s="157"/>
      <c r="J2" s="157"/>
      <c r="K2" s="157"/>
      <c r="L2" s="157"/>
      <c r="M2" s="157"/>
      <c r="N2" s="157"/>
      <c r="O2" s="157"/>
      <c r="P2" s="157"/>
      <c r="Q2" s="157"/>
      <c r="R2" s="157"/>
      <c r="S2" s="157"/>
      <c r="T2" s="157"/>
      <c r="U2" s="157"/>
    </row>
    <row r="4" spans="1:30" s="79" customFormat="1" ht="26" customHeight="1">
      <c r="A4" s="158" t="s">
        <v>5</v>
      </c>
      <c r="B4" s="158"/>
      <c r="C4" s="158"/>
      <c r="D4" s="158"/>
      <c r="E4" s="158"/>
      <c r="F4" s="158"/>
      <c r="G4" s="158"/>
      <c r="H4" s="158"/>
      <c r="I4" s="158"/>
      <c r="J4" s="158"/>
      <c r="K4" s="158"/>
      <c r="L4" s="158"/>
      <c r="M4" s="158"/>
      <c r="N4" s="158"/>
      <c r="O4" s="158"/>
      <c r="P4" s="158"/>
      <c r="Q4" s="158"/>
      <c r="R4" s="158"/>
      <c r="S4" s="158"/>
      <c r="T4" s="158"/>
      <c r="U4" s="158"/>
    </row>
    <row r="5" spans="1:30" s="7" customFormat="1" ht="51">
      <c r="A5" s="15" t="s">
        <v>39</v>
      </c>
      <c r="B5" s="15" t="s">
        <v>6</v>
      </c>
      <c r="C5" s="15" t="s">
        <v>15</v>
      </c>
      <c r="D5" s="15" t="s">
        <v>23</v>
      </c>
      <c r="E5" s="15" t="s">
        <v>7</v>
      </c>
      <c r="F5" s="15" t="s">
        <v>8</v>
      </c>
      <c r="G5" s="80" t="str">
        <f>BPCA!C5</f>
        <v xml:space="preserve">B2CA-1 </v>
      </c>
      <c r="H5" s="80" t="str">
        <f>BPCA!G5</f>
        <v>B3CA-2</v>
      </c>
      <c r="I5" s="80" t="str">
        <f>BPCA!H5</f>
        <v>B3CA-3</v>
      </c>
      <c r="J5" s="80" t="str">
        <f>BPCA!I5</f>
        <v xml:space="preserve">B4CA-1 </v>
      </c>
      <c r="K5" s="80" t="str">
        <f>BPCA!J5</f>
        <v>B4CA-2</v>
      </c>
      <c r="L5" s="80" t="str">
        <f>BPCA!K5</f>
        <v>B4CA-3</v>
      </c>
      <c r="M5" s="80" t="str">
        <f>BPCA!L5</f>
        <v>B5CA</v>
      </c>
      <c r="N5" s="81" t="s">
        <v>4</v>
      </c>
      <c r="O5" s="82" t="s">
        <v>156</v>
      </c>
      <c r="P5" s="83" t="s">
        <v>9</v>
      </c>
      <c r="Q5" s="84" t="s">
        <v>10</v>
      </c>
      <c r="R5" s="84" t="s">
        <v>11</v>
      </c>
      <c r="S5" s="84" t="s">
        <v>12</v>
      </c>
      <c r="T5" s="84" t="s">
        <v>13</v>
      </c>
      <c r="U5" s="85" t="s">
        <v>14</v>
      </c>
      <c r="V5" s="86"/>
      <c r="X5" s="158" t="s">
        <v>40</v>
      </c>
      <c r="Y5" s="158"/>
      <c r="Z5" s="158"/>
      <c r="AA5" s="158"/>
      <c r="AB5" s="158"/>
      <c r="AC5" s="158"/>
      <c r="AD5" s="158"/>
    </row>
    <row r="6" spans="1:30" ht="76" customHeight="1">
      <c r="A6" s="78">
        <v>0</v>
      </c>
      <c r="B6" s="87" t="s">
        <v>16</v>
      </c>
      <c r="C6" s="1"/>
      <c r="D6" s="17">
        <v>6</v>
      </c>
      <c r="E6" s="17">
        <v>6</v>
      </c>
      <c r="F6" s="17">
        <v>1</v>
      </c>
      <c r="G6" s="76">
        <v>0</v>
      </c>
      <c r="H6" s="76">
        <v>0</v>
      </c>
      <c r="I6" s="76">
        <v>0</v>
      </c>
      <c r="J6" s="76">
        <v>0</v>
      </c>
      <c r="K6" s="76">
        <v>0</v>
      </c>
      <c r="L6" s="76">
        <v>0</v>
      </c>
      <c r="M6" s="76">
        <v>0</v>
      </c>
      <c r="N6" s="76">
        <v>0</v>
      </c>
      <c r="O6" s="88">
        <v>0</v>
      </c>
      <c r="P6" s="22">
        <f t="shared" ref="P6:P27" si="0">(O6/SUM(O$6:O$27)*100)</f>
        <v>0</v>
      </c>
      <c r="Q6" s="88">
        <f t="shared" ref="Q6:Q27" si="1">D6*O6</f>
        <v>0</v>
      </c>
      <c r="R6" s="88">
        <f t="shared" ref="R6:R27" si="2">E6*O6</f>
        <v>0</v>
      </c>
      <c r="S6" s="88">
        <f>(Q6/SUM(Q6:Q26)*100)</f>
        <v>0</v>
      </c>
      <c r="T6" s="88">
        <f>(R6/SUM(R6:R26)*100)</f>
        <v>0</v>
      </c>
      <c r="U6" s="89">
        <f t="shared" ref="U6:U27" si="3">(12.011*D6)+(1.008*E6)</f>
        <v>78.114000000000004</v>
      </c>
      <c r="X6"/>
      <c r="Y6"/>
    </row>
    <row r="7" spans="1:30" ht="82" customHeight="1">
      <c r="A7" s="78">
        <v>1</v>
      </c>
      <c r="B7" s="87" t="s">
        <v>17</v>
      </c>
      <c r="C7" s="1"/>
      <c r="D7" s="17">
        <v>13</v>
      </c>
      <c r="E7" s="17">
        <v>10</v>
      </c>
      <c r="F7" s="17">
        <v>2</v>
      </c>
      <c r="G7" s="76">
        <f>1</f>
        <v>1</v>
      </c>
      <c r="H7" s="76">
        <v>0</v>
      </c>
      <c r="I7" s="76">
        <v>0</v>
      </c>
      <c r="J7" s="76">
        <v>0</v>
      </c>
      <c r="K7" s="76">
        <v>0</v>
      </c>
      <c r="L7" s="76">
        <v>0</v>
      </c>
      <c r="M7" s="76">
        <v>0</v>
      </c>
      <c r="N7" s="76">
        <v>0</v>
      </c>
      <c r="O7" s="17">
        <v>0</v>
      </c>
      <c r="P7" s="22">
        <f t="shared" si="0"/>
        <v>0</v>
      </c>
      <c r="Q7" s="88">
        <f t="shared" si="1"/>
        <v>0</v>
      </c>
      <c r="R7" s="88">
        <f t="shared" si="2"/>
        <v>0</v>
      </c>
      <c r="S7" s="88">
        <f t="shared" ref="S7:T7" si="4">(Q7/SUM(Q7:Q29)*100)</f>
        <v>0</v>
      </c>
      <c r="T7" s="88">
        <f t="shared" si="4"/>
        <v>0</v>
      </c>
      <c r="U7" s="89">
        <f t="shared" si="3"/>
        <v>166.22300000000001</v>
      </c>
      <c r="X7" s="90"/>
      <c r="Y7"/>
    </row>
    <row r="8" spans="1:30" ht="100" customHeight="1">
      <c r="A8" s="78">
        <v>2</v>
      </c>
      <c r="B8" s="87" t="s">
        <v>18</v>
      </c>
      <c r="C8" s="1"/>
      <c r="D8" s="17">
        <v>13</v>
      </c>
      <c r="E8" s="17">
        <v>10</v>
      </c>
      <c r="F8" s="17">
        <v>3</v>
      </c>
      <c r="G8" s="76">
        <v>0</v>
      </c>
      <c r="H8" s="76">
        <v>1</v>
      </c>
      <c r="I8" s="76">
        <v>0</v>
      </c>
      <c r="J8" s="76">
        <v>0</v>
      </c>
      <c r="K8" s="76">
        <v>0</v>
      </c>
      <c r="L8" s="76">
        <v>0</v>
      </c>
      <c r="M8" s="76">
        <v>0</v>
      </c>
      <c r="N8" s="76">
        <v>0</v>
      </c>
      <c r="O8" s="17">
        <v>0</v>
      </c>
      <c r="P8" s="22">
        <f t="shared" si="0"/>
        <v>0</v>
      </c>
      <c r="Q8" s="88">
        <f t="shared" si="1"/>
        <v>0</v>
      </c>
      <c r="R8" s="88">
        <f t="shared" si="2"/>
        <v>0</v>
      </c>
      <c r="S8" s="88">
        <f>(Q8/SUM(Q8:Q30)*100)</f>
        <v>0</v>
      </c>
      <c r="T8" s="88">
        <f>(R8/SUM(R8:R30)*100)</f>
        <v>0</v>
      </c>
      <c r="U8" s="89">
        <f t="shared" si="3"/>
        <v>166.22300000000001</v>
      </c>
      <c r="X8" s="90"/>
      <c r="Y8"/>
    </row>
    <row r="9" spans="1:30" ht="79" customHeight="1">
      <c r="A9" s="91">
        <v>3</v>
      </c>
      <c r="B9" s="87" t="s">
        <v>19</v>
      </c>
      <c r="C9" s="1"/>
      <c r="D9" s="17">
        <v>14</v>
      </c>
      <c r="E9" s="17">
        <v>10</v>
      </c>
      <c r="F9" s="17">
        <v>3</v>
      </c>
      <c r="G9" s="92">
        <f>2/3</f>
        <v>0.66666666666666663</v>
      </c>
      <c r="H9" s="76">
        <v>0</v>
      </c>
      <c r="I9" s="76">
        <v>0</v>
      </c>
      <c r="J9" s="76">
        <v>0</v>
      </c>
      <c r="K9" s="76">
        <v>0</v>
      </c>
      <c r="L9" s="76">
        <f>1/3</f>
        <v>0.33333333333333331</v>
      </c>
      <c r="M9" s="76">
        <v>0</v>
      </c>
      <c r="N9" s="76">
        <v>0</v>
      </c>
      <c r="O9" s="17">
        <v>0</v>
      </c>
      <c r="P9" s="22">
        <f t="shared" si="0"/>
        <v>0</v>
      </c>
      <c r="Q9" s="88">
        <f t="shared" si="1"/>
        <v>0</v>
      </c>
      <c r="R9" s="88">
        <f t="shared" si="2"/>
        <v>0</v>
      </c>
      <c r="S9" s="88">
        <f>(Q9/SUM(Q9:Q31)*100)</f>
        <v>0</v>
      </c>
      <c r="T9" s="88">
        <f>(R9/SUM(R9:R31)*100)</f>
        <v>0</v>
      </c>
      <c r="U9" s="89">
        <f t="shared" si="3"/>
        <v>178.23400000000001</v>
      </c>
      <c r="X9" s="90"/>
      <c r="Y9"/>
    </row>
    <row r="10" spans="1:30" ht="83" customHeight="1">
      <c r="A10" s="91">
        <v>4</v>
      </c>
      <c r="B10" s="87" t="s">
        <v>20</v>
      </c>
      <c r="C10" s="1"/>
      <c r="D10" s="17">
        <v>14</v>
      </c>
      <c r="E10" s="17">
        <v>10</v>
      </c>
      <c r="F10" s="17">
        <v>3</v>
      </c>
      <c r="G10" s="76">
        <f>1</f>
        <v>1</v>
      </c>
      <c r="H10" s="76">
        <v>0</v>
      </c>
      <c r="I10" s="76">
        <v>0</v>
      </c>
      <c r="J10" s="76">
        <v>0</v>
      </c>
      <c r="K10" s="76">
        <v>0</v>
      </c>
      <c r="L10" s="76">
        <v>0</v>
      </c>
      <c r="M10" s="76">
        <v>0</v>
      </c>
      <c r="N10" s="76">
        <v>0</v>
      </c>
      <c r="O10" s="17">
        <v>1</v>
      </c>
      <c r="P10" s="22">
        <f t="shared" si="0"/>
        <v>1.1363636363636365</v>
      </c>
      <c r="Q10" s="88">
        <f t="shared" si="1"/>
        <v>14</v>
      </c>
      <c r="R10" s="88">
        <f t="shared" si="2"/>
        <v>10</v>
      </c>
      <c r="S10" s="88">
        <f>(Q10/SUM(Q10:Q33)*100)</f>
        <v>0.10416666666666667</v>
      </c>
      <c r="T10" s="88">
        <f>(R10/SUM(R10:R33)*100)</f>
        <v>0.26205450733752622</v>
      </c>
      <c r="U10" s="89">
        <f t="shared" si="3"/>
        <v>178.23400000000001</v>
      </c>
      <c r="X10" s="90"/>
      <c r="Y10"/>
    </row>
    <row r="11" spans="1:30" ht="83" customHeight="1">
      <c r="A11" s="78">
        <v>5</v>
      </c>
      <c r="B11" s="87" t="s">
        <v>54</v>
      </c>
      <c r="C11" s="1"/>
      <c r="D11" s="17">
        <v>18</v>
      </c>
      <c r="E11" s="17">
        <v>12</v>
      </c>
      <c r="F11" s="17">
        <v>4</v>
      </c>
      <c r="G11" s="76">
        <f>2/4</f>
        <v>0.5</v>
      </c>
      <c r="H11" s="76">
        <v>0</v>
      </c>
      <c r="I11" s="76">
        <v>0</v>
      </c>
      <c r="J11" s="76">
        <v>0</v>
      </c>
      <c r="K11" s="76">
        <f>2/4</f>
        <v>0.5</v>
      </c>
      <c r="L11" s="76">
        <v>0</v>
      </c>
      <c r="M11" s="76">
        <v>0</v>
      </c>
      <c r="N11" s="76">
        <v>0</v>
      </c>
      <c r="O11" s="17">
        <v>0</v>
      </c>
      <c r="P11" s="22">
        <f t="shared" si="0"/>
        <v>0</v>
      </c>
      <c r="Q11" s="88">
        <f t="shared" si="1"/>
        <v>0</v>
      </c>
      <c r="R11" s="88">
        <f t="shared" si="2"/>
        <v>0</v>
      </c>
      <c r="U11" s="89">
        <f t="shared" si="3"/>
        <v>228.29399999999998</v>
      </c>
      <c r="X11" s="90"/>
      <c r="Y11"/>
    </row>
    <row r="12" spans="1:30" ht="83" customHeight="1">
      <c r="A12" s="78">
        <v>6</v>
      </c>
      <c r="B12" s="87" t="s">
        <v>53</v>
      </c>
      <c r="C12" s="1"/>
      <c r="D12" s="17">
        <v>22</v>
      </c>
      <c r="E12" s="17">
        <v>14</v>
      </c>
      <c r="F12" s="17">
        <v>5</v>
      </c>
      <c r="G12" s="76">
        <f>2/5</f>
        <v>0.4</v>
      </c>
      <c r="H12" s="76">
        <v>0</v>
      </c>
      <c r="I12" s="76">
        <v>0</v>
      </c>
      <c r="J12" s="76">
        <v>0</v>
      </c>
      <c r="K12" s="76">
        <v>0.6</v>
      </c>
      <c r="L12" s="76">
        <v>0</v>
      </c>
      <c r="M12" s="76">
        <v>0</v>
      </c>
      <c r="N12" s="76">
        <v>0</v>
      </c>
      <c r="O12" s="17">
        <v>1</v>
      </c>
      <c r="P12" s="22">
        <f t="shared" si="0"/>
        <v>1.1363636363636365</v>
      </c>
      <c r="Q12" s="88">
        <f t="shared" si="1"/>
        <v>22</v>
      </c>
      <c r="R12" s="88">
        <f t="shared" si="2"/>
        <v>14</v>
      </c>
      <c r="U12" s="89">
        <f t="shared" si="3"/>
        <v>278.35399999999998</v>
      </c>
      <c r="X12" s="90"/>
      <c r="Y12"/>
    </row>
    <row r="13" spans="1:30" ht="91" customHeight="1">
      <c r="A13" s="91">
        <v>7</v>
      </c>
      <c r="B13" s="87" t="s">
        <v>21</v>
      </c>
      <c r="C13" s="1"/>
      <c r="D13" s="17">
        <v>16</v>
      </c>
      <c r="E13" s="17">
        <v>10</v>
      </c>
      <c r="F13" s="17">
        <v>4</v>
      </c>
      <c r="G13" s="76">
        <v>0</v>
      </c>
      <c r="H13" s="76">
        <f>2/4</f>
        <v>0.5</v>
      </c>
      <c r="I13" s="76">
        <v>0</v>
      </c>
      <c r="J13" s="76">
        <v>0</v>
      </c>
      <c r="K13" s="76">
        <v>0</v>
      </c>
      <c r="L13" s="76">
        <f>2/4</f>
        <v>0.5</v>
      </c>
      <c r="M13" s="76">
        <v>0</v>
      </c>
      <c r="N13" s="76">
        <v>0</v>
      </c>
      <c r="O13" s="17">
        <v>0</v>
      </c>
      <c r="P13" s="22">
        <f t="shared" si="0"/>
        <v>0</v>
      </c>
      <c r="Q13" s="88">
        <f t="shared" si="1"/>
        <v>0</v>
      </c>
      <c r="R13" s="88">
        <f t="shared" si="2"/>
        <v>0</v>
      </c>
      <c r="S13" s="88">
        <f>(Q13/SUM(Q13:Q34)*100)</f>
        <v>0</v>
      </c>
      <c r="T13" s="88">
        <f>(R13/SUM(R13:R34)*100)</f>
        <v>0</v>
      </c>
      <c r="U13" s="89">
        <f t="shared" si="3"/>
        <v>202.256</v>
      </c>
      <c r="X13" s="90"/>
      <c r="Y13"/>
    </row>
    <row r="14" spans="1:30" ht="91" customHeight="1">
      <c r="A14" s="91">
        <v>8</v>
      </c>
      <c r="B14" s="87" t="s">
        <v>22</v>
      </c>
      <c r="C14" s="1"/>
      <c r="D14" s="17">
        <v>18</v>
      </c>
      <c r="E14" s="17">
        <v>12</v>
      </c>
      <c r="F14" s="17">
        <v>4</v>
      </c>
      <c r="G14" s="76">
        <v>0.5</v>
      </c>
      <c r="H14" s="76">
        <v>0</v>
      </c>
      <c r="I14" s="76">
        <v>0</v>
      </c>
      <c r="J14" s="76">
        <v>0</v>
      </c>
      <c r="K14" s="76">
        <v>0</v>
      </c>
      <c r="L14" s="76">
        <v>0.5</v>
      </c>
      <c r="M14" s="76">
        <v>0</v>
      </c>
      <c r="N14" s="76">
        <v>0</v>
      </c>
      <c r="O14" s="17">
        <v>0</v>
      </c>
      <c r="P14" s="22">
        <f t="shared" si="0"/>
        <v>0</v>
      </c>
      <c r="Q14" s="88">
        <f t="shared" si="1"/>
        <v>0</v>
      </c>
      <c r="R14" s="88">
        <f t="shared" si="2"/>
        <v>0</v>
      </c>
      <c r="S14" s="88">
        <f>(Q14/SUM(Q14:Q35)*100)</f>
        <v>0</v>
      </c>
      <c r="T14" s="88">
        <f>(R14/SUM(R14:R35)*100)</f>
        <v>0</v>
      </c>
      <c r="U14" s="89">
        <f t="shared" si="3"/>
        <v>228.29399999999998</v>
      </c>
      <c r="X14" s="90"/>
      <c r="Y14"/>
    </row>
    <row r="15" spans="1:30" ht="69" customHeight="1">
      <c r="A15" s="78">
        <v>9</v>
      </c>
      <c r="B15" s="87" t="s">
        <v>26</v>
      </c>
      <c r="C15" s="1"/>
      <c r="D15" s="17">
        <v>17</v>
      </c>
      <c r="E15" s="17">
        <v>12</v>
      </c>
      <c r="F15" s="17">
        <v>3</v>
      </c>
      <c r="G15" s="76">
        <f>2/3</f>
        <v>0.66666666666666663</v>
      </c>
      <c r="H15" s="76">
        <v>0</v>
      </c>
      <c r="I15" s="76">
        <v>0</v>
      </c>
      <c r="J15" s="76">
        <v>0</v>
      </c>
      <c r="K15" s="76">
        <v>0</v>
      </c>
      <c r="L15" s="76">
        <f>1/3</f>
        <v>0.33333333333333331</v>
      </c>
      <c r="M15" s="76">
        <v>0</v>
      </c>
      <c r="N15" s="76">
        <v>0</v>
      </c>
      <c r="O15" s="17">
        <v>0</v>
      </c>
      <c r="P15" s="22">
        <f t="shared" si="0"/>
        <v>0</v>
      </c>
      <c r="Q15" s="88">
        <f t="shared" si="1"/>
        <v>0</v>
      </c>
      <c r="R15" s="88">
        <f t="shared" si="2"/>
        <v>0</v>
      </c>
      <c r="S15" s="88">
        <f>(Q15/SUM(Q15:Q35)*100)</f>
        <v>0</v>
      </c>
      <c r="T15" s="88">
        <f>(R15/SUM(R15:R35)*100)</f>
        <v>0</v>
      </c>
      <c r="U15" s="89">
        <f t="shared" si="3"/>
        <v>216.28299999999999</v>
      </c>
      <c r="X15" s="90"/>
      <c r="Y15"/>
    </row>
    <row r="16" spans="1:30" ht="102" customHeight="1">
      <c r="A16" s="78">
        <v>10</v>
      </c>
      <c r="B16" s="87" t="s">
        <v>27</v>
      </c>
      <c r="C16" s="1"/>
      <c r="D16" s="17">
        <v>20</v>
      </c>
      <c r="E16" s="17">
        <v>12</v>
      </c>
      <c r="F16" s="17">
        <v>4</v>
      </c>
      <c r="G16" s="76">
        <f>2/4</f>
        <v>0.5</v>
      </c>
      <c r="H16" s="76">
        <f>1/4</f>
        <v>0.25</v>
      </c>
      <c r="I16" s="76">
        <v>0</v>
      </c>
      <c r="J16" s="76">
        <v>0</v>
      </c>
      <c r="K16" s="76">
        <v>0</v>
      </c>
      <c r="L16" s="76">
        <v>0</v>
      </c>
      <c r="M16" s="76">
        <v>0.25</v>
      </c>
      <c r="N16" s="76">
        <v>0</v>
      </c>
      <c r="O16" s="17">
        <v>0</v>
      </c>
      <c r="P16" s="22">
        <f t="shared" si="0"/>
        <v>0</v>
      </c>
      <c r="Q16" s="88">
        <f t="shared" si="1"/>
        <v>0</v>
      </c>
      <c r="R16" s="88">
        <f t="shared" si="2"/>
        <v>0</v>
      </c>
      <c r="S16" s="88">
        <f>(Q16/SUM(Q16:Q37)*100)</f>
        <v>0</v>
      </c>
      <c r="T16" s="88">
        <f>(R16/SUM(R16:R37)*100)</f>
        <v>0</v>
      </c>
      <c r="U16" s="89">
        <f t="shared" si="3"/>
        <v>252.31599999999997</v>
      </c>
      <c r="X16" s="90"/>
      <c r="Y16"/>
    </row>
    <row r="17" spans="1:25" ht="71" customHeight="1">
      <c r="A17" s="78">
        <v>11</v>
      </c>
      <c r="B17" s="87" t="s">
        <v>28</v>
      </c>
      <c r="C17" s="1"/>
      <c r="D17" s="17">
        <v>17</v>
      </c>
      <c r="E17" s="17">
        <v>12</v>
      </c>
      <c r="F17" s="17">
        <v>3</v>
      </c>
      <c r="G17" s="76">
        <f>G15</f>
        <v>0.66666666666666663</v>
      </c>
      <c r="H17" s="76">
        <v>0</v>
      </c>
      <c r="I17" s="76">
        <v>0</v>
      </c>
      <c r="J17" s="76">
        <v>0</v>
      </c>
      <c r="K17" s="76">
        <v>0</v>
      </c>
      <c r="L17" s="76">
        <f>L15</f>
        <v>0.33333333333333331</v>
      </c>
      <c r="M17" s="76">
        <v>0</v>
      </c>
      <c r="N17" s="76">
        <v>0</v>
      </c>
      <c r="O17" s="17">
        <v>0</v>
      </c>
      <c r="P17" s="22">
        <f t="shared" si="0"/>
        <v>0</v>
      </c>
      <c r="Q17" s="88">
        <f t="shared" si="1"/>
        <v>0</v>
      </c>
      <c r="R17" s="88">
        <f t="shared" si="2"/>
        <v>0</v>
      </c>
      <c r="S17" s="88">
        <f t="shared" ref="S17:T19" si="5">(Q17/SUM(Q17:Q39)*100)</f>
        <v>0</v>
      </c>
      <c r="T17" s="88">
        <f t="shared" si="5"/>
        <v>0</v>
      </c>
      <c r="U17" s="89">
        <f t="shared" si="3"/>
        <v>216.28299999999999</v>
      </c>
      <c r="X17" s="90"/>
      <c r="Y17"/>
    </row>
    <row r="18" spans="1:25" ht="117" customHeight="1">
      <c r="A18" s="91">
        <v>12</v>
      </c>
      <c r="B18" s="87" t="s">
        <v>24</v>
      </c>
      <c r="C18" s="1"/>
      <c r="D18" s="17">
        <v>24</v>
      </c>
      <c r="E18" s="17">
        <v>12</v>
      </c>
      <c r="F18" s="17">
        <v>7</v>
      </c>
      <c r="G18" s="76">
        <v>0</v>
      </c>
      <c r="H18" s="76">
        <v>0</v>
      </c>
      <c r="I18" s="76">
        <v>0</v>
      </c>
      <c r="J18" s="76">
        <v>0</v>
      </c>
      <c r="K18" s="76">
        <v>0</v>
      </c>
      <c r="L18" s="76">
        <f>6/7</f>
        <v>0.8571428571428571</v>
      </c>
      <c r="M18" s="76">
        <v>0</v>
      </c>
      <c r="N18" s="76">
        <f>1/7</f>
        <v>0.14285714285714285</v>
      </c>
      <c r="O18" s="17">
        <v>0</v>
      </c>
      <c r="P18" s="22">
        <f t="shared" si="0"/>
        <v>0</v>
      </c>
      <c r="Q18" s="88">
        <f t="shared" si="1"/>
        <v>0</v>
      </c>
      <c r="R18" s="88">
        <f t="shared" si="2"/>
        <v>0</v>
      </c>
      <c r="S18" s="88">
        <f t="shared" si="5"/>
        <v>0</v>
      </c>
      <c r="T18" s="88">
        <f t="shared" si="5"/>
        <v>0</v>
      </c>
      <c r="U18" s="89">
        <f t="shared" si="3"/>
        <v>300.36</v>
      </c>
      <c r="X18" s="90"/>
      <c r="Y18"/>
    </row>
    <row r="19" spans="1:25" ht="93" customHeight="1">
      <c r="A19" s="91">
        <v>13</v>
      </c>
      <c r="B19" s="87" t="s">
        <v>25</v>
      </c>
      <c r="D19" s="17">
        <v>20</v>
      </c>
      <c r="E19" s="17">
        <v>12</v>
      </c>
      <c r="F19" s="17">
        <v>5</v>
      </c>
      <c r="G19" s="76">
        <v>0</v>
      </c>
      <c r="H19" s="76">
        <f>4/5</f>
        <v>0.8</v>
      </c>
      <c r="I19" s="76">
        <v>0</v>
      </c>
      <c r="J19" s="76">
        <v>0</v>
      </c>
      <c r="K19" s="76">
        <v>0</v>
      </c>
      <c r="L19" s="76">
        <v>0</v>
      </c>
      <c r="M19" s="76">
        <v>0</v>
      </c>
      <c r="N19" s="76">
        <f>1/5</f>
        <v>0.2</v>
      </c>
      <c r="O19" s="17">
        <v>2</v>
      </c>
      <c r="P19" s="22">
        <f t="shared" si="0"/>
        <v>2.2727272727272729</v>
      </c>
      <c r="Q19" s="88">
        <f t="shared" si="1"/>
        <v>40</v>
      </c>
      <c r="R19" s="88">
        <f t="shared" si="2"/>
        <v>24</v>
      </c>
      <c r="S19" s="88">
        <f t="shared" si="5"/>
        <v>0.29841838257236641</v>
      </c>
      <c r="T19" s="88">
        <f t="shared" si="5"/>
        <v>0.63291139240506333</v>
      </c>
      <c r="U19" s="89">
        <f t="shared" si="3"/>
        <v>252.31599999999997</v>
      </c>
      <c r="X19" s="90"/>
      <c r="Y19"/>
    </row>
    <row r="20" spans="1:25" ht="95" customHeight="1">
      <c r="A20" s="78">
        <v>14</v>
      </c>
      <c r="B20" s="87" t="s">
        <v>29</v>
      </c>
      <c r="D20" s="17">
        <v>20</v>
      </c>
      <c r="E20" s="17">
        <v>12</v>
      </c>
      <c r="F20" s="17">
        <v>5</v>
      </c>
      <c r="G20" s="76">
        <f>1/5</f>
        <v>0.2</v>
      </c>
      <c r="H20" s="76">
        <f>1/5</f>
        <v>0.2</v>
      </c>
      <c r="I20" s="76">
        <v>0</v>
      </c>
      <c r="J20" s="76">
        <v>0</v>
      </c>
      <c r="K20" s="76">
        <v>0</v>
      </c>
      <c r="L20" s="76">
        <v>0.4</v>
      </c>
      <c r="M20" s="76">
        <v>0.2</v>
      </c>
      <c r="N20" s="76">
        <v>0</v>
      </c>
      <c r="O20" s="17">
        <v>0</v>
      </c>
      <c r="P20" s="22">
        <f t="shared" si="0"/>
        <v>0</v>
      </c>
      <c r="Q20" s="88">
        <f t="shared" si="1"/>
        <v>0</v>
      </c>
      <c r="R20" s="88">
        <f t="shared" si="2"/>
        <v>0</v>
      </c>
      <c r="S20" s="88">
        <f t="shared" ref="S20:T27" si="6">(Q20/SUM(Q20:Q43)*100)</f>
        <v>0</v>
      </c>
      <c r="T20" s="88">
        <f t="shared" si="6"/>
        <v>0</v>
      </c>
      <c r="U20" s="89">
        <f t="shared" si="3"/>
        <v>252.31599999999997</v>
      </c>
      <c r="X20" s="90"/>
      <c r="Y20"/>
    </row>
    <row r="21" spans="1:25" ht="102" customHeight="1">
      <c r="A21" s="91">
        <v>15</v>
      </c>
      <c r="B21" s="87" t="s">
        <v>30</v>
      </c>
      <c r="D21" s="17">
        <v>22</v>
      </c>
      <c r="E21" s="17">
        <v>12</v>
      </c>
      <c r="F21" s="17">
        <v>6</v>
      </c>
      <c r="G21" s="76">
        <v>0</v>
      </c>
      <c r="H21" s="76">
        <f>2/6</f>
        <v>0.33333333333333331</v>
      </c>
      <c r="I21" s="76">
        <v>0</v>
      </c>
      <c r="J21" s="76">
        <v>0</v>
      </c>
      <c r="K21" s="76">
        <v>0</v>
      </c>
      <c r="L21" s="76">
        <f>3/6</f>
        <v>0.5</v>
      </c>
      <c r="M21" s="76">
        <v>0</v>
      </c>
      <c r="N21" s="76">
        <f>1/6</f>
        <v>0.16666666666666666</v>
      </c>
      <c r="O21" s="17">
        <v>0</v>
      </c>
      <c r="P21" s="22">
        <f t="shared" si="0"/>
        <v>0</v>
      </c>
      <c r="Q21" s="88">
        <f t="shared" si="1"/>
        <v>0</v>
      </c>
      <c r="R21" s="88">
        <f t="shared" si="2"/>
        <v>0</v>
      </c>
      <c r="S21" s="88">
        <f t="shared" si="6"/>
        <v>0</v>
      </c>
      <c r="T21" s="88">
        <f t="shared" si="6"/>
        <v>0</v>
      </c>
      <c r="U21" s="89">
        <f t="shared" si="3"/>
        <v>276.33799999999997</v>
      </c>
      <c r="X21" s="90"/>
      <c r="Y21"/>
    </row>
    <row r="22" spans="1:25" ht="137" customHeight="1">
      <c r="A22" s="78">
        <v>16</v>
      </c>
      <c r="B22" s="87" t="s">
        <v>31</v>
      </c>
      <c r="C22" s="1"/>
      <c r="D22" s="17">
        <v>42</v>
      </c>
      <c r="E22" s="17">
        <v>16</v>
      </c>
      <c r="F22" s="17">
        <v>14</v>
      </c>
      <c r="G22" s="76">
        <v>0</v>
      </c>
      <c r="H22" s="76">
        <v>0</v>
      </c>
      <c r="I22" s="76">
        <v>0</v>
      </c>
      <c r="J22" s="76">
        <v>0</v>
      </c>
      <c r="K22" s="76">
        <v>0</v>
      </c>
      <c r="L22" s="76">
        <f>6/14</f>
        <v>0.42857142857142855</v>
      </c>
      <c r="M22" s="76">
        <f>4/14</f>
        <v>0.2857142857142857</v>
      </c>
      <c r="N22" s="76">
        <f>4/14</f>
        <v>0.2857142857142857</v>
      </c>
      <c r="O22" s="17">
        <v>0</v>
      </c>
      <c r="P22" s="22">
        <f t="shared" si="0"/>
        <v>0</v>
      </c>
      <c r="Q22" s="88">
        <f t="shared" si="1"/>
        <v>0</v>
      </c>
      <c r="R22" s="88">
        <f t="shared" si="2"/>
        <v>0</v>
      </c>
      <c r="S22" s="88">
        <f t="shared" si="6"/>
        <v>0</v>
      </c>
      <c r="T22" s="88">
        <f t="shared" si="6"/>
        <v>0</v>
      </c>
      <c r="U22" s="89">
        <f t="shared" si="3"/>
        <v>520.59</v>
      </c>
      <c r="X22" s="90"/>
      <c r="Y22"/>
    </row>
    <row r="23" spans="1:25" ht="167" customHeight="1">
      <c r="A23" s="78">
        <v>17</v>
      </c>
      <c r="B23" s="87" t="s">
        <v>32</v>
      </c>
      <c r="C23" s="1"/>
      <c r="D23" s="17">
        <v>54</v>
      </c>
      <c r="E23" s="17">
        <v>18</v>
      </c>
      <c r="F23" s="17">
        <v>19</v>
      </c>
      <c r="G23" s="76">
        <v>0</v>
      </c>
      <c r="H23" s="76">
        <v>0</v>
      </c>
      <c r="I23" s="76">
        <v>0</v>
      </c>
      <c r="J23" s="76">
        <v>0</v>
      </c>
      <c r="K23" s="76">
        <v>0</v>
      </c>
      <c r="L23" s="76">
        <f>6/19</f>
        <v>0.31578947368421051</v>
      </c>
      <c r="M23" s="76">
        <f>6/19</f>
        <v>0.31578947368421051</v>
      </c>
      <c r="N23" s="76">
        <f>7/19</f>
        <v>0.36842105263157893</v>
      </c>
      <c r="O23" s="17">
        <v>0</v>
      </c>
      <c r="P23" s="22">
        <f t="shared" si="0"/>
        <v>0</v>
      </c>
      <c r="Q23" s="88">
        <f t="shared" si="1"/>
        <v>0</v>
      </c>
      <c r="R23" s="88">
        <f t="shared" si="2"/>
        <v>0</v>
      </c>
      <c r="S23" s="88">
        <f t="shared" si="6"/>
        <v>0</v>
      </c>
      <c r="T23" s="88">
        <f t="shared" si="6"/>
        <v>0</v>
      </c>
      <c r="U23" s="89">
        <f t="shared" si="3"/>
        <v>666.73799999999994</v>
      </c>
      <c r="X23" s="90"/>
      <c r="Y23"/>
    </row>
    <row r="24" spans="1:25" ht="151" customHeight="1">
      <c r="A24" s="78">
        <v>18</v>
      </c>
      <c r="B24" s="87" t="s">
        <v>33</v>
      </c>
      <c r="C24" s="1"/>
      <c r="D24" s="17">
        <v>66</v>
      </c>
      <c r="E24" s="17">
        <v>20</v>
      </c>
      <c r="F24" s="17">
        <v>24</v>
      </c>
      <c r="G24" s="76">
        <v>0</v>
      </c>
      <c r="H24" s="76">
        <v>0</v>
      </c>
      <c r="I24" s="76">
        <v>0</v>
      </c>
      <c r="J24" s="76">
        <v>0</v>
      </c>
      <c r="K24" s="76">
        <v>0</v>
      </c>
      <c r="L24" s="76">
        <f>6/24</f>
        <v>0.25</v>
      </c>
      <c r="M24" s="76">
        <f>8/24</f>
        <v>0.33333333333333331</v>
      </c>
      <c r="N24" s="76">
        <f>10/24</f>
        <v>0.41666666666666669</v>
      </c>
      <c r="O24" s="17">
        <v>0</v>
      </c>
      <c r="P24" s="22">
        <f t="shared" si="0"/>
        <v>0</v>
      </c>
      <c r="Q24" s="88">
        <f t="shared" si="1"/>
        <v>0</v>
      </c>
      <c r="R24" s="88">
        <f t="shared" si="2"/>
        <v>0</v>
      </c>
      <c r="S24" s="88">
        <f t="shared" si="6"/>
        <v>0</v>
      </c>
      <c r="T24" s="88">
        <f t="shared" si="6"/>
        <v>0</v>
      </c>
      <c r="U24" s="89">
        <f t="shared" si="3"/>
        <v>812.88599999999997</v>
      </c>
      <c r="X24" s="90"/>
      <c r="Y24"/>
    </row>
    <row r="25" spans="1:25" ht="151" customHeight="1">
      <c r="A25" s="78">
        <v>19</v>
      </c>
      <c r="B25" s="87" t="s">
        <v>35</v>
      </c>
      <c r="C25" s="1"/>
      <c r="D25" s="17">
        <v>70</v>
      </c>
      <c r="E25" s="17">
        <v>22</v>
      </c>
      <c r="F25" s="17">
        <v>25</v>
      </c>
      <c r="G25" s="76">
        <v>0</v>
      </c>
      <c r="H25" s="76">
        <f>2/25</f>
        <v>0.08</v>
      </c>
      <c r="I25" s="76">
        <v>0</v>
      </c>
      <c r="J25" s="76">
        <v>0</v>
      </c>
      <c r="K25" s="76">
        <v>0</v>
      </c>
      <c r="L25" s="76">
        <v>0.08</v>
      </c>
      <c r="M25" s="76">
        <f>12/25</f>
        <v>0.48</v>
      </c>
      <c r="N25" s="76">
        <f>9/25</f>
        <v>0.36</v>
      </c>
      <c r="O25" s="17">
        <v>10</v>
      </c>
      <c r="P25" s="22">
        <f t="shared" si="0"/>
        <v>11.363636363636363</v>
      </c>
      <c r="Q25" s="88">
        <f t="shared" si="1"/>
        <v>700</v>
      </c>
      <c r="R25" s="88">
        <f t="shared" si="2"/>
        <v>220</v>
      </c>
      <c r="S25" s="88">
        <f t="shared" si="6"/>
        <v>5.2379527087698294</v>
      </c>
      <c r="T25" s="88">
        <f t="shared" si="6"/>
        <v>5.8386411889596603</v>
      </c>
      <c r="U25" s="89">
        <f t="shared" si="3"/>
        <v>862.94600000000003</v>
      </c>
      <c r="X25" s="90"/>
      <c r="Y25"/>
    </row>
    <row r="26" spans="1:25" ht="151" customHeight="1">
      <c r="A26" s="78">
        <v>20</v>
      </c>
      <c r="B26" s="87" t="s">
        <v>34</v>
      </c>
      <c r="C26" s="1"/>
      <c r="D26" s="17">
        <v>80</v>
      </c>
      <c r="E26" s="17">
        <f>22</f>
        <v>22</v>
      </c>
      <c r="F26" s="17">
        <v>30</v>
      </c>
      <c r="G26" s="76">
        <v>0</v>
      </c>
      <c r="H26" s="76">
        <v>0</v>
      </c>
      <c r="I26" s="76">
        <v>0</v>
      </c>
      <c r="J26" s="76">
        <v>0</v>
      </c>
      <c r="K26" s="76">
        <v>0</v>
      </c>
      <c r="L26" s="76">
        <f>6/30</f>
        <v>0.2</v>
      </c>
      <c r="M26" s="76">
        <f>10/30</f>
        <v>0.33333333333333331</v>
      </c>
      <c r="N26" s="76">
        <f>14/30</f>
        <v>0.46666666666666667</v>
      </c>
      <c r="O26" s="17">
        <v>68</v>
      </c>
      <c r="P26" s="22">
        <f t="shared" si="0"/>
        <v>77.272727272727266</v>
      </c>
      <c r="Q26" s="88">
        <f t="shared" si="1"/>
        <v>5440</v>
      </c>
      <c r="R26" s="88">
        <f t="shared" si="2"/>
        <v>1496</v>
      </c>
      <c r="S26" s="88">
        <f t="shared" si="6"/>
        <v>42.956411876184461</v>
      </c>
      <c r="T26" s="88">
        <f t="shared" si="6"/>
        <v>42.164599774520859</v>
      </c>
      <c r="U26" s="89">
        <f t="shared" si="3"/>
        <v>983.05599999999993</v>
      </c>
      <c r="X26" s="90"/>
      <c r="Y26"/>
    </row>
    <row r="27" spans="1:25" ht="173" customHeight="1">
      <c r="A27" s="78">
        <v>21</v>
      </c>
      <c r="B27" s="94" t="s">
        <v>37</v>
      </c>
      <c r="C27" s="1"/>
      <c r="D27" s="17">
        <v>84</v>
      </c>
      <c r="E27" s="17">
        <v>24</v>
      </c>
      <c r="F27" s="17">
        <v>31</v>
      </c>
      <c r="G27" s="76">
        <v>0</v>
      </c>
      <c r="H27" s="76">
        <v>0</v>
      </c>
      <c r="I27" s="76">
        <v>0</v>
      </c>
      <c r="J27" s="76">
        <v>0</v>
      </c>
      <c r="K27" s="76">
        <v>0</v>
      </c>
      <c r="L27" s="76">
        <f>(31-18)/31</f>
        <v>0.41935483870967744</v>
      </c>
      <c r="M27" s="76">
        <v>0</v>
      </c>
      <c r="N27" s="76">
        <f>18/31</f>
        <v>0.58064516129032262</v>
      </c>
      <c r="O27" s="17">
        <v>6</v>
      </c>
      <c r="P27" s="22">
        <f t="shared" si="0"/>
        <v>6.8181818181818175</v>
      </c>
      <c r="Q27" s="88">
        <f t="shared" si="1"/>
        <v>504</v>
      </c>
      <c r="R27" s="88">
        <f t="shared" si="2"/>
        <v>144</v>
      </c>
      <c r="S27" s="88">
        <f t="shared" si="6"/>
        <v>6.9767441860465116</v>
      </c>
      <c r="T27" s="88">
        <f t="shared" si="6"/>
        <v>7.0175438596491224</v>
      </c>
      <c r="U27" s="89">
        <f t="shared" si="3"/>
        <v>1033.116</v>
      </c>
      <c r="X27" s="90"/>
      <c r="Y27"/>
    </row>
    <row r="28" spans="1:25">
      <c r="B28"/>
      <c r="C28" s="49"/>
      <c r="D28" s="1"/>
      <c r="G28" s="76">
        <f t="shared" ref="G28:N28" si="7">G6*$O$6+G11*$O$11+G12*$O$12+G7*$O$7+G8*$O$8+G9*$O9+G10*$O$10+G13*$O$13+G14*$O$14+G15*$O$15+G16*$O$16+G17*$O$17+G18*$O$18+G19*$O$19+G20*$O$20+G21*$O$21+G22*$O$22+G23*$O$23+G24*$O$24+G25*$O$25+G26*$O$26+G27*$O$27</f>
        <v>1.4</v>
      </c>
      <c r="H28" s="76">
        <f t="shared" si="7"/>
        <v>2.4000000000000004</v>
      </c>
      <c r="I28" s="76">
        <f t="shared" si="7"/>
        <v>0</v>
      </c>
      <c r="J28" s="76">
        <f t="shared" si="7"/>
        <v>0</v>
      </c>
      <c r="K28" s="76">
        <f t="shared" si="7"/>
        <v>0.6</v>
      </c>
      <c r="L28" s="76">
        <f t="shared" si="7"/>
        <v>16.916129032258066</v>
      </c>
      <c r="M28" s="76">
        <f t="shared" si="7"/>
        <v>27.466666666666665</v>
      </c>
      <c r="N28" s="76">
        <f t="shared" si="7"/>
        <v>39.21720430107527</v>
      </c>
      <c r="O28" s="88">
        <f>SUM(O6:O27)</f>
        <v>88</v>
      </c>
      <c r="P28" s="22">
        <f>SUM(P6:P27)</f>
        <v>99.999999999999986</v>
      </c>
      <c r="Q28" s="88">
        <f>SUM(Q6:Q27)</f>
        <v>6720</v>
      </c>
      <c r="R28" s="88">
        <f>SUM(R6:R27)</f>
        <v>1908</v>
      </c>
      <c r="X28"/>
      <c r="Y28"/>
    </row>
    <row r="29" spans="1:25">
      <c r="C29" s="49"/>
      <c r="D29" s="1"/>
      <c r="F29" s="95" t="s">
        <v>41</v>
      </c>
      <c r="G29" s="159">
        <f>SUM(G28:N28)</f>
        <v>88</v>
      </c>
      <c r="H29" s="159"/>
      <c r="I29" s="159"/>
      <c r="J29" s="159"/>
      <c r="K29" s="159"/>
      <c r="L29" s="159"/>
      <c r="M29" s="159"/>
      <c r="N29" s="159"/>
      <c r="O29" s="76"/>
    </row>
    <row r="30" spans="1:25">
      <c r="C30" s="49"/>
      <c r="D30" s="1"/>
      <c r="F30" s="95"/>
      <c r="G30" s="84" t="s">
        <v>65</v>
      </c>
      <c r="H30" s="84" t="s">
        <v>50</v>
      </c>
      <c r="I30" s="84" t="s">
        <v>52</v>
      </c>
      <c r="J30" s="84" t="s">
        <v>83</v>
      </c>
      <c r="K30" s="84" t="s">
        <v>51</v>
      </c>
      <c r="L30" s="84" t="s">
        <v>88</v>
      </c>
      <c r="M30" s="84" t="s">
        <v>3</v>
      </c>
      <c r="N30" s="84" t="s">
        <v>4</v>
      </c>
      <c r="O30" s="76"/>
    </row>
    <row r="31" spans="1:25">
      <c r="C31" s="49"/>
      <c r="D31" s="1"/>
      <c r="F31" s="49" t="s">
        <v>141</v>
      </c>
      <c r="G31" s="96">
        <f>G28/$G$29</f>
        <v>1.5909090909090907E-2</v>
      </c>
      <c r="H31" s="96">
        <f>H28/$G$29</f>
        <v>2.7272727272727278E-2</v>
      </c>
      <c r="I31" s="96">
        <f t="shared" ref="I31:K31" si="8">I28/$G$29</f>
        <v>0</v>
      </c>
      <c r="J31" s="96">
        <f t="shared" si="8"/>
        <v>0</v>
      </c>
      <c r="K31" s="96">
        <f t="shared" si="8"/>
        <v>6.8181818181818179E-3</v>
      </c>
      <c r="L31" s="96">
        <f>L28/$G$29</f>
        <v>0.19222873900293258</v>
      </c>
      <c r="M31" s="96">
        <f>M28/$G$29</f>
        <v>0.31212121212121208</v>
      </c>
      <c r="N31" s="96">
        <f>N28/$G$29</f>
        <v>0.44565004887585535</v>
      </c>
      <c r="O31" s="76"/>
      <c r="P31" s="70"/>
      <c r="Q31" s="1"/>
      <c r="R31" s="1"/>
      <c r="S31" s="1"/>
      <c r="T31" s="1"/>
      <c r="U31" s="97"/>
    </row>
    <row r="32" spans="1:25">
      <c r="C32" s="49"/>
      <c r="D32" s="1"/>
      <c r="E32" s="1"/>
      <c r="F32" s="98" t="s">
        <v>36</v>
      </c>
      <c r="G32" s="96">
        <f>BPCA_Experimental!H3</f>
        <v>1.7798234948509826E-2</v>
      </c>
      <c r="H32" s="99">
        <f>BPCA_Experimental!H4+BPCA_Experimental!H5</f>
        <v>2.6873957656278813E-2</v>
      </c>
      <c r="I32" s="99">
        <f>BPCA_Experimental!H4+BPCA_Experimental!H5</f>
        <v>2.6873957656278813E-2</v>
      </c>
      <c r="J32" s="99" t="e">
        <f>BPCA_Experimental!I4+BPCA_Experimental!I5</f>
        <v>#VALUE!</v>
      </c>
      <c r="K32" s="99">
        <f>BPCA_Experimental!H6</f>
        <v>7.4240498269105603E-3</v>
      </c>
      <c r="L32" s="99">
        <f>BPCA_Experimental!H7</f>
        <v>9.9811377982015628E-2</v>
      </c>
      <c r="M32" s="99">
        <f>BPCA_Experimental!H8</f>
        <v>0.30986523757109552</v>
      </c>
      <c r="N32" s="99">
        <f>BPCA_Experimental!H9</f>
        <v>0.53822714201518951</v>
      </c>
      <c r="O32" s="76"/>
      <c r="Q32" s="1"/>
      <c r="R32" s="1"/>
      <c r="S32" s="1"/>
      <c r="T32" s="1"/>
      <c r="U32" s="97"/>
    </row>
    <row r="33" spans="1:21">
      <c r="C33" s="49"/>
      <c r="D33" s="1"/>
      <c r="E33" s="1"/>
      <c r="F33" s="98" t="s">
        <v>142</v>
      </c>
      <c r="G33" s="96">
        <f>BPCA_Experimental!H14</f>
        <v>3.3752394696415617E-3</v>
      </c>
      <c r="H33" s="99">
        <f>BPCA_Experimental!H15+BPCA_Experimental!H16</f>
        <v>2.5420763575197962E-3</v>
      </c>
      <c r="I33" s="99"/>
      <c r="J33" s="99"/>
      <c r="K33" s="99">
        <f>BPCA_Experimental!H17</f>
        <v>1.9634220262432674E-3</v>
      </c>
      <c r="L33" s="99">
        <f>BPCA_Experimental!H18</f>
        <v>1.5722680239762876E-2</v>
      </c>
      <c r="M33" s="99">
        <f>BPCA_Experimental!H19</f>
        <v>5.4432833074832605E-2</v>
      </c>
      <c r="N33" s="99">
        <f>BPCA_Experimental!H20</f>
        <v>7.7360877544426734E-2</v>
      </c>
      <c r="O33" s="76"/>
      <c r="T33" s="1"/>
      <c r="U33" s="97"/>
    </row>
    <row r="34" spans="1:21">
      <c r="F34" s="100" t="s">
        <v>42</v>
      </c>
      <c r="G34" s="76">
        <f>ABS(G31-G32)/G32</f>
        <v>0.10614221269042685</v>
      </c>
      <c r="H34" s="76">
        <f>ABS(H31-H32)/H32</f>
        <v>1.4838514726739443E-2</v>
      </c>
      <c r="K34" s="76">
        <f>ABS(K31-K32)/K32</f>
        <v>8.160882845001971E-2</v>
      </c>
      <c r="L34" s="76">
        <f>ABS(L31-L32)/L32</f>
        <v>0.92592009938555342</v>
      </c>
      <c r="M34" s="76">
        <f>ABS(M31-M32)/M32</f>
        <v>7.28050222025614E-3</v>
      </c>
      <c r="N34" s="76">
        <f>ABS(N31-N32)/N32</f>
        <v>0.17200376181831703</v>
      </c>
      <c r="O34" s="76"/>
    </row>
    <row r="35" spans="1:21">
      <c r="E35" s="101"/>
      <c r="F35" s="98"/>
      <c r="O35" s="76"/>
    </row>
    <row r="36" spans="1:21">
      <c r="D36" s="1"/>
      <c r="E36" s="77"/>
      <c r="O36" s="76"/>
    </row>
    <row r="37" spans="1:21" ht="16" customHeight="1">
      <c r="D37" s="1"/>
      <c r="E37" s="77"/>
      <c r="F37" s="103" t="s">
        <v>127</v>
      </c>
      <c r="G37" s="76">
        <f>BPCA_Experimental!H23</f>
        <v>0.26424758936501019</v>
      </c>
      <c r="H37" s="156" t="s">
        <v>132</v>
      </c>
      <c r="I37" s="156"/>
      <c r="J37" s="156"/>
      <c r="K37" s="156"/>
      <c r="L37" s="156"/>
      <c r="M37" s="156"/>
      <c r="N37" s="156"/>
      <c r="O37" s="76"/>
    </row>
    <row r="38" spans="1:21" ht="16" customHeight="1">
      <c r="D38" s="1"/>
      <c r="E38" s="77"/>
      <c r="F38" s="103" t="s">
        <v>133</v>
      </c>
      <c r="G38" s="76">
        <f>G37*G43</f>
        <v>0.20611311970470797</v>
      </c>
      <c r="H38" s="156"/>
      <c r="I38" s="156"/>
      <c r="J38" s="156"/>
      <c r="K38" s="156"/>
      <c r="L38" s="156"/>
      <c r="M38" s="156"/>
      <c r="N38" s="156"/>
      <c r="O38" s="76"/>
    </row>
    <row r="39" spans="1:21" ht="13" customHeight="1">
      <c r="D39" s="104"/>
      <c r="F39" s="103" t="s">
        <v>130</v>
      </c>
      <c r="G39" s="76">
        <f>R28/Q28</f>
        <v>0.28392857142857142</v>
      </c>
      <c r="H39" s="156"/>
      <c r="I39" s="156"/>
      <c r="J39" s="156"/>
      <c r="K39" s="156"/>
      <c r="L39" s="156"/>
      <c r="M39" s="156"/>
      <c r="N39" s="156"/>
      <c r="O39" s="76"/>
      <c r="Q39" s="96"/>
    </row>
    <row r="40" spans="1:21">
      <c r="D40" s="104"/>
      <c r="F40" s="103" t="s">
        <v>42</v>
      </c>
      <c r="G40" s="76">
        <f>G38-G39</f>
        <v>-7.7815451723863449E-2</v>
      </c>
      <c r="H40" s="156"/>
      <c r="I40" s="156"/>
      <c r="J40" s="156"/>
      <c r="K40" s="156"/>
      <c r="L40" s="156"/>
      <c r="M40" s="156"/>
      <c r="N40" s="156"/>
      <c r="O40" s="76"/>
    </row>
    <row r="41" spans="1:21">
      <c r="D41" s="104"/>
      <c r="F41" s="1"/>
      <c r="G41" s="1"/>
      <c r="O41" s="76"/>
    </row>
    <row r="42" spans="1:21">
      <c r="D42" s="104"/>
      <c r="F42" s="105" t="s">
        <v>131</v>
      </c>
      <c r="G42" s="106">
        <v>10000</v>
      </c>
      <c r="O42" s="76"/>
      <c r="T42" s="76"/>
    </row>
    <row r="43" spans="1:21" ht="16" customHeight="1">
      <c r="D43" s="7"/>
      <c r="F43" s="98" t="s">
        <v>43</v>
      </c>
      <c r="G43" s="96">
        <f>BPCA_Experimental!H22</f>
        <v>0.78</v>
      </c>
      <c r="H43" s="156" t="s">
        <v>129</v>
      </c>
      <c r="I43" s="156"/>
      <c r="J43" s="156"/>
      <c r="K43" s="156"/>
      <c r="L43" s="156"/>
      <c r="M43" s="156"/>
      <c r="N43" s="156"/>
      <c r="O43" s="76"/>
      <c r="Q43" s="96"/>
    </row>
    <row r="44" spans="1:21">
      <c r="E44" s="77"/>
      <c r="F44" s="98" t="s">
        <v>128</v>
      </c>
      <c r="G44" s="96">
        <f>Q28/(G42-R28)</f>
        <v>0.83044982698961933</v>
      </c>
      <c r="H44" s="156"/>
      <c r="I44" s="156"/>
      <c r="J44" s="156"/>
      <c r="K44" s="156"/>
      <c r="L44" s="156"/>
      <c r="M44" s="156"/>
      <c r="N44" s="156"/>
      <c r="O44" s="76"/>
      <c r="Q44" s="96"/>
    </row>
    <row r="45" spans="1:21">
      <c r="H45" s="50"/>
      <c r="I45" s="50"/>
      <c r="J45" s="50"/>
      <c r="K45" s="50"/>
      <c r="L45" s="50"/>
      <c r="M45" s="50"/>
      <c r="N45" s="50"/>
      <c r="O45" s="76"/>
      <c r="Q45" s="96"/>
    </row>
    <row r="46" spans="1:21">
      <c r="E46" s="1"/>
      <c r="G46" s="107"/>
      <c r="H46" s="107"/>
      <c r="I46" s="107"/>
      <c r="J46" s="107"/>
      <c r="K46" s="107"/>
      <c r="L46" s="107"/>
      <c r="M46" s="107"/>
      <c r="N46" s="107"/>
      <c r="O46" s="76"/>
      <c r="P46" s="108"/>
    </row>
    <row r="47" spans="1:21">
      <c r="A47" s="109"/>
      <c r="B47" s="109"/>
      <c r="C47" s="109"/>
      <c r="D47" s="109"/>
      <c r="E47" s="109"/>
      <c r="F47" s="109"/>
      <c r="O47" s="76"/>
      <c r="P47" s="110"/>
      <c r="Q47" s="109"/>
      <c r="R47" s="109"/>
      <c r="S47" s="109"/>
      <c r="T47" s="109"/>
      <c r="U47" s="111"/>
    </row>
    <row r="48" spans="1:21">
      <c r="A48" s="112"/>
      <c r="B48" s="7"/>
      <c r="C48" s="113"/>
      <c r="D48" s="7"/>
      <c r="E48" s="7"/>
      <c r="F48" s="7"/>
      <c r="H48" s="99"/>
      <c r="I48" s="99"/>
      <c r="J48" s="99"/>
      <c r="K48" s="99"/>
      <c r="L48" s="99"/>
      <c r="M48" s="99"/>
      <c r="N48" s="99"/>
      <c r="O48" s="76"/>
      <c r="Q48" s="114"/>
      <c r="R48" s="114"/>
      <c r="S48" s="114"/>
      <c r="T48" s="114"/>
      <c r="U48" s="86"/>
    </row>
    <row r="49" spans="1:30">
      <c r="O49" s="76"/>
      <c r="P49" s="96"/>
      <c r="S49" s="17"/>
      <c r="T49" s="17"/>
      <c r="U49" s="17"/>
      <c r="V49" s="17"/>
      <c r="W49" s="17"/>
    </row>
    <row r="50" spans="1:30">
      <c r="O50" s="76"/>
      <c r="P50" s="96"/>
      <c r="Q50" s="115"/>
    </row>
    <row r="51" spans="1:30" s="22" customFormat="1">
      <c r="A51" s="78"/>
      <c r="B51" s="17"/>
      <c r="C51" s="93"/>
      <c r="D51" s="17"/>
      <c r="E51" s="17"/>
      <c r="F51" s="17"/>
      <c r="G51" s="76"/>
      <c r="H51" s="76"/>
      <c r="I51" s="76"/>
      <c r="J51" s="76"/>
      <c r="K51" s="76"/>
      <c r="L51" s="76"/>
      <c r="M51" s="76"/>
      <c r="N51" s="76"/>
      <c r="O51" s="76"/>
      <c r="Q51" s="17"/>
      <c r="R51" s="17"/>
      <c r="S51" s="88"/>
      <c r="T51" s="88"/>
      <c r="U51" s="89"/>
      <c r="V51" s="1"/>
      <c r="W51" s="1"/>
      <c r="X51" s="1"/>
      <c r="Y51" s="1"/>
      <c r="Z51" s="1"/>
      <c r="AA51" s="1"/>
      <c r="AB51" s="1"/>
      <c r="AC51" s="1"/>
      <c r="AD51" s="1"/>
    </row>
    <row r="52" spans="1:30" s="22" customFormat="1">
      <c r="A52" s="78"/>
      <c r="B52" s="17"/>
      <c r="C52" s="93"/>
      <c r="D52" s="17"/>
      <c r="E52" s="17"/>
      <c r="F52" s="17"/>
      <c r="G52" s="76"/>
      <c r="H52" s="76"/>
      <c r="I52" s="76"/>
      <c r="J52" s="76"/>
      <c r="K52" s="76"/>
      <c r="L52" s="76"/>
      <c r="M52" s="76"/>
      <c r="N52" s="76"/>
      <c r="O52" s="76"/>
      <c r="Q52" s="17"/>
      <c r="R52" s="17"/>
      <c r="S52" s="88"/>
      <c r="T52" s="88"/>
      <c r="U52" s="89"/>
      <c r="V52" s="1"/>
      <c r="W52" s="1"/>
      <c r="X52" s="1"/>
      <c r="Y52" s="1"/>
      <c r="Z52" s="1"/>
      <c r="AA52" s="1"/>
      <c r="AB52" s="1"/>
      <c r="AC52" s="1"/>
      <c r="AD52" s="1"/>
    </row>
    <row r="53" spans="1:30" s="22" customFormat="1">
      <c r="A53" s="78"/>
      <c r="B53" s="17"/>
      <c r="C53" s="93"/>
      <c r="D53" s="17"/>
      <c r="E53" s="17"/>
      <c r="F53" s="17"/>
      <c r="G53" s="76"/>
      <c r="H53" s="76"/>
      <c r="I53" s="76"/>
      <c r="J53" s="76"/>
      <c r="K53" s="76"/>
      <c r="L53" s="76"/>
      <c r="M53" s="76"/>
      <c r="N53" s="76"/>
      <c r="O53" s="76"/>
      <c r="Q53" s="17"/>
      <c r="R53" s="17"/>
      <c r="S53" s="88"/>
      <c r="T53" s="88"/>
      <c r="U53" s="89"/>
      <c r="V53" s="1"/>
      <c r="W53" s="1"/>
      <c r="X53" s="1"/>
      <c r="Y53" s="1"/>
      <c r="Z53" s="1"/>
      <c r="AA53" s="1"/>
      <c r="AB53" s="1"/>
      <c r="AC53" s="1"/>
      <c r="AD53" s="1"/>
    </row>
    <row r="54" spans="1:30" s="22" customFormat="1">
      <c r="A54" s="78"/>
      <c r="B54" s="17"/>
      <c r="C54" s="93"/>
      <c r="D54" s="17"/>
      <c r="E54" s="17"/>
      <c r="F54" s="17"/>
      <c r="G54" s="76"/>
      <c r="H54" s="50"/>
      <c r="I54" s="50"/>
      <c r="J54" s="50"/>
      <c r="K54" s="50"/>
      <c r="L54" s="50"/>
      <c r="M54" s="50"/>
      <c r="N54" s="50"/>
      <c r="O54" s="76"/>
      <c r="Q54" s="17"/>
      <c r="R54" s="17"/>
      <c r="S54" s="88"/>
      <c r="T54" s="88"/>
      <c r="U54" s="89"/>
      <c r="V54" s="1"/>
      <c r="W54" s="1"/>
      <c r="X54" s="1"/>
      <c r="Y54" s="1"/>
      <c r="Z54" s="1"/>
      <c r="AA54" s="1"/>
      <c r="AB54" s="1"/>
      <c r="AC54" s="1"/>
      <c r="AD54" s="1"/>
    </row>
    <row r="55" spans="1:30" s="22" customFormat="1">
      <c r="A55" s="78"/>
      <c r="B55" s="17"/>
      <c r="C55" s="93"/>
      <c r="D55" s="17"/>
      <c r="E55" s="17"/>
      <c r="F55" s="17"/>
      <c r="G55" s="76"/>
      <c r="H55" s="76"/>
      <c r="I55" s="76"/>
      <c r="J55" s="76"/>
      <c r="K55" s="76"/>
      <c r="L55" s="76"/>
      <c r="M55" s="76"/>
      <c r="N55" s="76"/>
      <c r="O55" s="76"/>
      <c r="Q55" s="17"/>
      <c r="R55" s="17"/>
      <c r="S55" s="88"/>
      <c r="T55" s="88"/>
      <c r="U55" s="89"/>
      <c r="V55" s="1"/>
      <c r="W55" s="1"/>
      <c r="X55" s="1"/>
      <c r="Y55" s="1"/>
      <c r="Z55" s="1"/>
      <c r="AA55" s="1"/>
      <c r="AB55" s="1"/>
      <c r="AC55" s="1"/>
      <c r="AD55" s="1"/>
    </row>
    <row r="57" spans="1:30" s="22" customFormat="1">
      <c r="A57" s="78"/>
      <c r="B57" s="17"/>
      <c r="C57" s="93"/>
      <c r="D57" s="17"/>
      <c r="E57" s="17"/>
      <c r="F57" s="17"/>
      <c r="G57" s="76"/>
      <c r="H57" s="76"/>
      <c r="I57" s="76"/>
      <c r="J57" s="76"/>
      <c r="K57" s="76"/>
      <c r="L57" s="76"/>
      <c r="M57" s="76"/>
      <c r="N57" s="76"/>
      <c r="O57" s="76"/>
      <c r="Q57" s="17"/>
      <c r="R57" s="17"/>
      <c r="S57" s="88"/>
      <c r="T57" s="88"/>
      <c r="U57" s="89"/>
      <c r="V57" s="1"/>
      <c r="W57" s="1"/>
      <c r="X57" s="1"/>
      <c r="Y57" s="1"/>
      <c r="Z57" s="1"/>
      <c r="AA57" s="1"/>
      <c r="AB57" s="1"/>
      <c r="AC57" s="1"/>
      <c r="AD57" s="1"/>
    </row>
    <row r="58" spans="1:30" s="22" customFormat="1">
      <c r="A58" s="78"/>
      <c r="B58" s="17"/>
      <c r="C58" s="93"/>
      <c r="D58" s="17"/>
      <c r="E58" s="17"/>
      <c r="F58" s="17"/>
      <c r="G58" s="76"/>
      <c r="H58" s="76"/>
      <c r="I58" s="76"/>
      <c r="J58" s="76"/>
      <c r="K58" s="76"/>
      <c r="L58" s="76"/>
      <c r="M58" s="76"/>
      <c r="N58" s="76"/>
      <c r="O58" s="76"/>
      <c r="Q58" s="17"/>
      <c r="R58" s="17"/>
      <c r="S58" s="88"/>
      <c r="T58" s="88"/>
      <c r="U58" s="89"/>
      <c r="V58" s="1"/>
      <c r="W58" s="1"/>
      <c r="X58" s="1"/>
      <c r="Y58" s="1"/>
      <c r="Z58" s="1"/>
      <c r="AA58" s="1"/>
      <c r="AB58" s="1"/>
      <c r="AC58" s="1"/>
      <c r="AD58" s="1"/>
    </row>
    <row r="59" spans="1:30" s="22" customFormat="1">
      <c r="A59" s="78"/>
      <c r="B59" s="17"/>
      <c r="C59" s="93"/>
      <c r="D59" s="17"/>
      <c r="E59" s="17"/>
      <c r="F59" s="17"/>
      <c r="G59" s="76"/>
      <c r="H59" s="76"/>
      <c r="I59" s="76"/>
      <c r="J59" s="76"/>
      <c r="K59" s="76"/>
      <c r="L59" s="76"/>
      <c r="M59" s="76"/>
      <c r="N59" s="76"/>
      <c r="O59" s="76"/>
      <c r="Q59" s="17"/>
      <c r="R59" s="17"/>
      <c r="S59" s="88"/>
      <c r="T59" s="88"/>
      <c r="U59" s="89"/>
      <c r="V59" s="1"/>
      <c r="W59" s="1"/>
      <c r="X59" s="1"/>
      <c r="Y59" s="1"/>
      <c r="Z59" s="1"/>
      <c r="AA59" s="1"/>
      <c r="AB59" s="1"/>
      <c r="AC59" s="1"/>
      <c r="AD59" s="1"/>
    </row>
    <row r="60" spans="1:30" s="22" customFormat="1">
      <c r="A60" s="78"/>
      <c r="B60" s="17"/>
      <c r="C60" s="93"/>
      <c r="D60" s="17"/>
      <c r="E60" s="17"/>
      <c r="F60" s="17"/>
      <c r="G60" s="76"/>
      <c r="H60" s="76"/>
      <c r="I60" s="76"/>
      <c r="J60" s="76"/>
      <c r="K60" s="76"/>
      <c r="L60" s="76"/>
      <c r="M60" s="76"/>
      <c r="N60" s="76"/>
      <c r="O60" s="76"/>
      <c r="Q60" s="17"/>
      <c r="R60" s="17"/>
      <c r="S60" s="88"/>
      <c r="T60" s="88"/>
      <c r="U60" s="89"/>
      <c r="V60" s="1"/>
      <c r="W60" s="1"/>
      <c r="X60" s="1"/>
      <c r="Y60" s="1"/>
      <c r="Z60" s="1"/>
      <c r="AA60" s="1"/>
      <c r="AB60" s="1"/>
      <c r="AC60" s="1"/>
      <c r="AD60" s="1"/>
    </row>
    <row r="61" spans="1:30" s="22" customFormat="1">
      <c r="A61" s="78"/>
      <c r="B61" s="17"/>
      <c r="C61" s="93"/>
      <c r="D61" s="17"/>
      <c r="E61" s="17"/>
      <c r="F61" s="17"/>
      <c r="G61" s="76"/>
      <c r="H61" s="76"/>
      <c r="I61" s="76"/>
      <c r="J61" s="76"/>
      <c r="K61" s="76"/>
      <c r="L61" s="76"/>
      <c r="M61" s="76"/>
      <c r="N61" s="76"/>
      <c r="O61" s="76"/>
      <c r="Q61" s="17"/>
      <c r="R61" s="17"/>
      <c r="S61" s="88"/>
      <c r="T61" s="88"/>
      <c r="U61" s="89"/>
      <c r="V61" s="1"/>
      <c r="W61" s="1"/>
      <c r="X61" s="1"/>
      <c r="Y61" s="1"/>
      <c r="Z61" s="1"/>
      <c r="AA61" s="1"/>
      <c r="AB61" s="1"/>
      <c r="AC61" s="1"/>
      <c r="AD61" s="1"/>
    </row>
    <row r="62" spans="1:30" s="22" customFormat="1">
      <c r="A62" s="78"/>
      <c r="B62" s="17"/>
      <c r="C62" s="93"/>
      <c r="D62" s="17"/>
      <c r="E62" s="17"/>
      <c r="F62" s="17"/>
      <c r="G62" s="76"/>
      <c r="H62" s="76"/>
      <c r="I62" s="76"/>
      <c r="J62" s="76"/>
      <c r="K62" s="76"/>
      <c r="L62" s="76"/>
      <c r="M62" s="76"/>
      <c r="N62" s="76"/>
      <c r="O62" s="76"/>
      <c r="Q62" s="17"/>
      <c r="R62" s="17"/>
      <c r="S62" s="88"/>
      <c r="T62" s="88"/>
      <c r="U62" s="89"/>
      <c r="V62" s="1"/>
      <c r="W62" s="1"/>
      <c r="X62" s="1"/>
      <c r="Y62" s="1"/>
      <c r="Z62" s="1"/>
      <c r="AA62" s="1"/>
      <c r="AB62" s="1"/>
      <c r="AC62" s="1"/>
      <c r="AD62" s="1"/>
    </row>
    <row r="63" spans="1:30" s="22" customFormat="1">
      <c r="A63" s="78"/>
      <c r="B63" s="17"/>
      <c r="C63" s="93"/>
      <c r="D63" s="88"/>
      <c r="E63" s="88"/>
      <c r="F63" s="17"/>
      <c r="G63" s="76"/>
      <c r="H63" s="76"/>
      <c r="I63" s="76"/>
      <c r="J63" s="76"/>
      <c r="K63" s="76"/>
      <c r="L63" s="76"/>
      <c r="M63" s="76"/>
      <c r="N63" s="76"/>
      <c r="O63" s="76"/>
      <c r="Q63" s="17"/>
      <c r="R63" s="17"/>
      <c r="S63" s="88"/>
      <c r="T63" s="88"/>
      <c r="U63" s="89"/>
      <c r="V63" s="1"/>
      <c r="W63" s="1"/>
      <c r="X63" s="1"/>
      <c r="Y63" s="1"/>
      <c r="Z63" s="1"/>
      <c r="AA63" s="1"/>
      <c r="AB63" s="1"/>
      <c r="AC63" s="1"/>
      <c r="AD63" s="1"/>
    </row>
    <row r="64" spans="1:30" s="22" customFormat="1">
      <c r="A64" s="78"/>
      <c r="B64" s="17"/>
      <c r="C64" s="93"/>
      <c r="D64" s="88"/>
      <c r="E64" s="88"/>
      <c r="F64" s="17"/>
      <c r="G64" s="76"/>
      <c r="H64" s="76"/>
      <c r="I64" s="76"/>
      <c r="J64" s="76"/>
      <c r="K64" s="76"/>
      <c r="L64" s="76"/>
      <c r="M64" s="76"/>
      <c r="N64" s="76"/>
      <c r="O64" s="76"/>
      <c r="Q64" s="17"/>
      <c r="R64" s="17"/>
      <c r="S64" s="88"/>
      <c r="T64" s="88"/>
      <c r="U64" s="89"/>
      <c r="V64" s="1"/>
      <c r="W64" s="1"/>
      <c r="X64" s="1"/>
      <c r="Y64" s="1"/>
      <c r="Z64" s="1"/>
      <c r="AA64" s="1"/>
      <c r="AB64" s="1"/>
      <c r="AC64" s="1"/>
      <c r="AD64" s="1"/>
    </row>
    <row r="65" spans="1:30" s="22" customFormat="1">
      <c r="A65" s="78"/>
      <c r="B65" s="17"/>
      <c r="C65" s="93"/>
      <c r="D65" s="17"/>
      <c r="E65" s="17"/>
      <c r="F65" s="17"/>
      <c r="G65" s="76"/>
      <c r="H65" s="76"/>
      <c r="I65" s="76"/>
      <c r="J65" s="76"/>
      <c r="K65" s="76"/>
      <c r="L65" s="76"/>
      <c r="M65" s="76"/>
      <c r="N65" s="76"/>
      <c r="O65" s="76"/>
      <c r="Q65" s="17"/>
      <c r="R65" s="17"/>
      <c r="S65" s="88"/>
      <c r="T65" s="88"/>
      <c r="U65" s="89"/>
      <c r="V65" s="1"/>
      <c r="W65" s="1"/>
      <c r="X65" s="1"/>
      <c r="Y65" s="1"/>
      <c r="Z65" s="1"/>
      <c r="AA65" s="1"/>
      <c r="AB65" s="1"/>
      <c r="AC65" s="1"/>
      <c r="AD65" s="1"/>
    </row>
    <row r="66" spans="1:30" s="22" customFormat="1">
      <c r="A66" s="78"/>
      <c r="B66" s="17"/>
      <c r="C66" s="93"/>
      <c r="D66" s="17"/>
      <c r="E66" s="17"/>
      <c r="F66" s="17"/>
      <c r="G66" s="76"/>
      <c r="H66" s="76"/>
      <c r="I66" s="76"/>
      <c r="J66" s="76"/>
      <c r="K66" s="76"/>
      <c r="L66" s="76"/>
      <c r="M66" s="76"/>
      <c r="N66" s="76"/>
      <c r="O66" s="76"/>
      <c r="Q66" s="17"/>
      <c r="R66" s="17"/>
      <c r="S66" s="88"/>
      <c r="T66" s="88"/>
      <c r="U66" s="89"/>
      <c r="V66" s="1"/>
      <c r="W66" s="1"/>
      <c r="X66" s="1"/>
      <c r="Y66" s="1"/>
      <c r="Z66" s="1"/>
      <c r="AA66" s="1"/>
      <c r="AB66" s="1"/>
      <c r="AC66" s="1"/>
      <c r="AD66" s="1"/>
    </row>
    <row r="67" spans="1:30" s="22" customFormat="1">
      <c r="A67" s="78"/>
      <c r="B67" s="17"/>
      <c r="C67" s="93"/>
      <c r="D67" s="14"/>
      <c r="E67" s="116"/>
      <c r="F67" s="17"/>
      <c r="G67" s="76"/>
      <c r="H67" s="76"/>
      <c r="I67" s="76"/>
      <c r="J67" s="76"/>
      <c r="K67" s="76"/>
      <c r="L67" s="76"/>
      <c r="M67" s="76"/>
      <c r="N67" s="76"/>
      <c r="O67" s="76"/>
      <c r="Q67" s="17"/>
      <c r="R67" s="17"/>
      <c r="S67" s="88"/>
      <c r="T67" s="88"/>
      <c r="U67" s="89"/>
      <c r="V67" s="1"/>
      <c r="W67" s="1"/>
      <c r="X67" s="1"/>
      <c r="Y67" s="1"/>
      <c r="Z67" s="1"/>
      <c r="AA67" s="1"/>
      <c r="AB67" s="1"/>
      <c r="AC67" s="1"/>
      <c r="AD67" s="1"/>
    </row>
    <row r="68" spans="1:30" s="22" customFormat="1">
      <c r="A68" s="78"/>
      <c r="B68" s="17"/>
      <c r="C68" s="93"/>
      <c r="D68" s="14"/>
      <c r="E68" s="116"/>
      <c r="F68" s="17"/>
      <c r="G68" s="76"/>
      <c r="H68" s="76"/>
      <c r="I68" s="76"/>
      <c r="J68" s="76"/>
      <c r="K68" s="76"/>
      <c r="L68" s="76"/>
      <c r="M68" s="76"/>
      <c r="N68" s="76"/>
      <c r="O68" s="17"/>
      <c r="Q68" s="17"/>
      <c r="R68" s="17"/>
      <c r="S68" s="88"/>
      <c r="T68" s="88"/>
      <c r="U68" s="89"/>
      <c r="V68" s="1"/>
      <c r="W68" s="1"/>
      <c r="X68" s="1"/>
      <c r="Y68" s="1"/>
      <c r="Z68" s="1"/>
      <c r="AA68" s="1"/>
      <c r="AB68" s="1"/>
      <c r="AC68" s="1"/>
      <c r="AD68" s="1"/>
    </row>
    <row r="69" spans="1:30" s="22" customFormat="1">
      <c r="A69" s="78"/>
      <c r="B69" s="17"/>
      <c r="C69" s="93"/>
      <c r="D69" s="14"/>
      <c r="E69" s="116"/>
      <c r="F69" s="17"/>
      <c r="G69" s="76"/>
      <c r="H69" s="76"/>
      <c r="I69" s="76"/>
      <c r="J69" s="76"/>
      <c r="K69" s="76"/>
      <c r="L69" s="76"/>
      <c r="M69" s="76"/>
      <c r="N69" s="76"/>
      <c r="O69" s="17"/>
      <c r="Q69" s="17"/>
      <c r="R69" s="17"/>
      <c r="S69" s="88"/>
      <c r="T69" s="88"/>
      <c r="U69" s="89"/>
      <c r="V69" s="1"/>
      <c r="W69" s="1"/>
      <c r="X69" s="1"/>
      <c r="Y69" s="1"/>
      <c r="Z69" s="1"/>
      <c r="AA69" s="1"/>
      <c r="AB69" s="1"/>
      <c r="AC69" s="1"/>
      <c r="AD69" s="1"/>
    </row>
    <row r="70" spans="1:30" s="22" customFormat="1">
      <c r="A70" s="78"/>
      <c r="B70" s="17"/>
      <c r="C70" s="93"/>
      <c r="D70" s="14"/>
      <c r="E70" s="116"/>
      <c r="F70" s="17"/>
      <c r="G70" s="76"/>
      <c r="H70" s="76"/>
      <c r="I70" s="76"/>
      <c r="J70" s="76"/>
      <c r="K70" s="76"/>
      <c r="L70" s="76"/>
      <c r="M70" s="76"/>
      <c r="N70" s="76"/>
      <c r="O70" s="17"/>
      <c r="Q70" s="17"/>
      <c r="R70" s="17"/>
      <c r="S70" s="88"/>
      <c r="T70" s="88"/>
      <c r="U70" s="89"/>
      <c r="V70" s="1"/>
      <c r="W70" s="1"/>
      <c r="X70" s="1"/>
      <c r="Y70" s="1"/>
      <c r="Z70" s="1"/>
      <c r="AA70" s="1"/>
      <c r="AB70" s="1"/>
      <c r="AC70" s="1"/>
      <c r="AD70" s="1"/>
    </row>
    <row r="71" spans="1:30" s="22" customFormat="1">
      <c r="A71" s="78"/>
      <c r="B71" s="17"/>
      <c r="C71" s="93"/>
      <c r="D71" s="116"/>
      <c r="E71" s="116"/>
      <c r="F71" s="17"/>
      <c r="G71" s="76"/>
      <c r="H71" s="76"/>
      <c r="I71" s="76"/>
      <c r="J71" s="76"/>
      <c r="K71" s="76"/>
      <c r="L71" s="76"/>
      <c r="M71" s="76"/>
      <c r="N71" s="76"/>
      <c r="O71" s="17"/>
      <c r="Q71" s="17"/>
      <c r="R71" s="17"/>
      <c r="S71" s="88"/>
      <c r="T71" s="88"/>
      <c r="U71" s="89"/>
      <c r="V71" s="1"/>
      <c r="W71" s="1"/>
      <c r="X71" s="1"/>
      <c r="Y71" s="1"/>
      <c r="Z71" s="1"/>
      <c r="AA71" s="1"/>
      <c r="AB71" s="1"/>
      <c r="AC71" s="1"/>
      <c r="AD71" s="1"/>
    </row>
    <row r="74" spans="1:30">
      <c r="F74" s="17">
        <v>2.1734316152630884</v>
      </c>
      <c r="G74" s="76">
        <v>1.3853925458808451</v>
      </c>
      <c r="J74" s="76">
        <v>0.37191767601910652</v>
      </c>
      <c r="K74" s="76">
        <v>1.0759769510084558</v>
      </c>
      <c r="L74" s="76">
        <v>1.7376856471734761E-3</v>
      </c>
      <c r="M74" s="76">
        <v>0.34470884465817714</v>
      </c>
    </row>
    <row r="75" spans="1:30">
      <c r="F75" s="17">
        <v>1.9802662125949004</v>
      </c>
      <c r="G75" s="76">
        <v>0.25653676968339761</v>
      </c>
      <c r="J75" s="76">
        <v>0.2884096435657697</v>
      </c>
      <c r="K75" s="76">
        <v>1.4863663257067059</v>
      </c>
      <c r="L75" s="76">
        <v>3.034262035098536E-2</v>
      </c>
      <c r="M75" s="76">
        <v>0.34044124264657871</v>
      </c>
    </row>
    <row r="76" spans="1:30">
      <c r="F76" s="17">
        <v>2.1734316152630884</v>
      </c>
      <c r="G76" s="76">
        <v>1.3853925458808451</v>
      </c>
      <c r="J76" s="76">
        <v>0.37191767601910652</v>
      </c>
      <c r="K76" s="76">
        <v>1.0474143036367689</v>
      </c>
      <c r="L76" s="76">
        <v>3.5046947557594937E-3</v>
      </c>
      <c r="M76" s="76">
        <v>0.34243016777949442</v>
      </c>
    </row>
  </sheetData>
  <mergeCells count="6">
    <mergeCell ref="H43:N44"/>
    <mergeCell ref="B2:U2"/>
    <mergeCell ref="A4:U4"/>
    <mergeCell ref="X5:AD5"/>
    <mergeCell ref="G29:N29"/>
    <mergeCell ref="H37:N40"/>
  </mergeCells>
  <hyperlinks>
    <hyperlink ref="B7" r:id="rId1" display="dibenzofuran_Si" xr:uid="{5583E470-0477-CF48-90BF-0DC99A52E960}"/>
    <hyperlink ref="B8" r:id="rId2" display="phenalene" xr:uid="{8D49FA22-38D4-E347-A8EC-146BA7E040B0}"/>
    <hyperlink ref="B9" r:id="rId3" display="phenanthrene" xr:uid="{96C13C01-04F6-BD49-B660-BC0220B23DA4}"/>
    <hyperlink ref="B10" r:id="rId4" display="anthracene" xr:uid="{EE5E4D6E-8607-B144-840A-BBDA4C00A813}"/>
    <hyperlink ref="B13" r:id="rId5" display="pyrene" xr:uid="{13FF998D-DFCB-E540-85B2-D671537092C8}"/>
    <hyperlink ref="B15" r:id="rId6" display="benzo[c]fluorene" xr:uid="{96079F0B-1296-AA42-884C-C8CDD8215FBC}"/>
    <hyperlink ref="B18" r:id="rId7" display="coronene" xr:uid="{5DC68EE9-FA0F-1C4C-A4FA-EBC852DE1577}"/>
    <hyperlink ref="B14" r:id="rId8" display="chrysene" xr:uid="{515E8F79-5144-ED4A-B1B9-6E3C2C826B6D}"/>
    <hyperlink ref="B16" r:id="rId9" display="Benz[e]acephenanthrylene" xr:uid="{25357CB3-9E11-7A48-93C9-EF3FBFDD9DCB}"/>
    <hyperlink ref="B6" r:id="rId10" display="benzene" xr:uid="{8CCE4ADF-4630-F440-BAA4-464D7C0AEAE2}"/>
    <hyperlink ref="B17" r:id="rId11" display="benzo_b_fluorene" xr:uid="{DA77C164-BDBC-804D-9B57-F7CC4EFAC7AA}"/>
    <hyperlink ref="B19" r:id="rId12" xr:uid="{1760F5AC-3091-4341-B53F-E5C69E33B988}"/>
    <hyperlink ref="B20" r:id="rId13" display="Benzo_a_pyrene" xr:uid="{65028721-6461-324A-8461-EF84AAC2DCC0}"/>
    <hyperlink ref="B21" r:id="rId14" xr:uid="{B2E67249-0A06-0841-A117-E5B542F77FDF}"/>
    <hyperlink ref="B22" r:id="rId15" xr:uid="{C9E53E3F-F7BA-284D-92A7-34AEBD1801EB}"/>
    <hyperlink ref="B23" r:id="rId16" xr:uid="{63691BC3-256B-E04D-96E4-4E08F2522D4B}"/>
    <hyperlink ref="B25" r:id="rId17" xr:uid="{6D4AA5B8-E169-0E4C-B578-A7391CD8A067}"/>
    <hyperlink ref="B26" r:id="rId18" location="section=InChIKey" xr:uid="{26A20085-97D3-8344-B89B-98440E46D3D9}"/>
    <hyperlink ref="B27" r:id="rId19" xr:uid="{826CF014-A2AA-7643-B23F-CEF504CBC0EE}"/>
  </hyperlinks>
  <pageMargins left="0.7" right="0.7" top="0.75" bottom="0.75" header="0.3" footer="0.3"/>
  <drawing r:id="rId2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PAH_Standard</vt:lpstr>
      <vt:lpstr>BPCA</vt:lpstr>
      <vt:lpstr>BPCA_Experimental</vt:lpstr>
      <vt:lpstr>BPCA_Model_400</vt:lpstr>
      <vt:lpstr>BPCA_Model_500</vt:lpstr>
      <vt:lpstr>BPCA_Model_600</vt:lpstr>
      <vt:lpstr>BPCA_Model_700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Sierra Jimenez, Valentina</cp:lastModifiedBy>
  <dcterms:created xsi:type="dcterms:W3CDTF">2023-08-09T15:11:39Z</dcterms:created>
  <dcterms:modified xsi:type="dcterms:W3CDTF">2024-03-11T09:30:53Z</dcterms:modified>
</cp:coreProperties>
</file>